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ogisticstal\users\Margot\Documents\KuutseMäesport\Juhatuse koosolekud\"/>
    </mc:Choice>
  </mc:AlternateContent>
  <bookViews>
    <workbookView xWindow="0" yWindow="0" windowWidth="27480" windowHeight="13710" activeTab="2"/>
  </bookViews>
  <sheets>
    <sheet name="2013-2017" sheetId="2" r:id="rId1"/>
    <sheet name="2016-2017 eelarve" sheetId="1" r:id="rId2"/>
    <sheet name="jaotused 2015-2017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3" l="1"/>
  <c r="D2" i="3"/>
  <c r="B2" i="3"/>
  <c r="B14" i="3"/>
  <c r="D14" i="3"/>
  <c r="E6" i="2" l="1"/>
  <c r="B36" i="3"/>
  <c r="B32" i="3"/>
  <c r="C13" i="2"/>
  <c r="C73" i="3" l="1"/>
  <c r="D78" i="3"/>
  <c r="D81" i="3"/>
  <c r="D79" i="3"/>
  <c r="C78" i="3"/>
  <c r="C85" i="3"/>
  <c r="C80" i="3"/>
  <c r="C79" i="3"/>
  <c r="E92" i="3" l="1"/>
  <c r="E91" i="3"/>
  <c r="E90" i="3"/>
  <c r="E89" i="3"/>
  <c r="E88" i="3"/>
  <c r="D87" i="3"/>
  <c r="E87" i="3" s="1"/>
  <c r="D86" i="3"/>
  <c r="E86" i="3" s="1"/>
  <c r="D85" i="3"/>
  <c r="E84" i="3"/>
  <c r="E83" i="3"/>
  <c r="E82" i="3"/>
  <c r="B81" i="3"/>
  <c r="D80" i="3"/>
  <c r="B80" i="3"/>
  <c r="B78" i="3"/>
  <c r="C74" i="3"/>
  <c r="B74" i="3"/>
  <c r="C72" i="3"/>
  <c r="C67" i="3" s="1"/>
  <c r="B72" i="3"/>
  <c r="B67" i="3" s="1"/>
  <c r="D67" i="3"/>
  <c r="C66" i="3"/>
  <c r="B66" i="3"/>
  <c r="C65" i="3"/>
  <c r="B65" i="3"/>
  <c r="D64" i="3"/>
  <c r="C64" i="3"/>
  <c r="C63" i="3" s="1"/>
  <c r="B64" i="3"/>
  <c r="D62" i="3"/>
  <c r="C62" i="3"/>
  <c r="B62" i="3"/>
  <c r="D61" i="3"/>
  <c r="C61" i="3"/>
  <c r="B61" i="3"/>
  <c r="D59" i="3"/>
  <c r="D58" i="3"/>
  <c r="D57" i="3"/>
  <c r="C56" i="3"/>
  <c r="D55" i="3"/>
  <c r="C55" i="3"/>
  <c r="D54" i="3"/>
  <c r="C54" i="3"/>
  <c r="D53" i="3"/>
  <c r="C53" i="3"/>
  <c r="D52" i="3"/>
  <c r="C52" i="3"/>
  <c r="D51" i="3"/>
  <c r="C51" i="3"/>
  <c r="C49" i="3"/>
  <c r="D48" i="3"/>
  <c r="C48" i="3"/>
  <c r="D47" i="3"/>
  <c r="C47" i="3"/>
  <c r="B47" i="3"/>
  <c r="D46" i="3"/>
  <c r="C46" i="3"/>
  <c r="B46" i="3"/>
  <c r="C44" i="3"/>
  <c r="C41" i="3" s="1"/>
  <c r="D41" i="3"/>
  <c r="B41" i="3"/>
  <c r="D40" i="3"/>
  <c r="C40" i="3"/>
  <c r="B40" i="3"/>
  <c r="D39" i="3"/>
  <c r="C39" i="3"/>
  <c r="B39" i="3"/>
  <c r="C38" i="3"/>
  <c r="B38" i="3"/>
  <c r="C36" i="3"/>
  <c r="D34" i="3"/>
  <c r="D32" i="3"/>
  <c r="C32" i="3"/>
  <c r="B25" i="3"/>
  <c r="D24" i="3"/>
  <c r="B24" i="3"/>
  <c r="D23" i="3"/>
  <c r="C23" i="3"/>
  <c r="C21" i="3" s="1"/>
  <c r="B23" i="3"/>
  <c r="D19" i="3"/>
  <c r="B19" i="3"/>
  <c r="D18" i="3"/>
  <c r="C18" i="3"/>
  <c r="D17" i="3"/>
  <c r="C17" i="3"/>
  <c r="B17" i="3"/>
  <c r="B16" i="3" s="1"/>
  <c r="C14" i="3"/>
  <c r="D12" i="3"/>
  <c r="D10" i="3" s="1"/>
  <c r="C12" i="3"/>
  <c r="C10" i="3" s="1"/>
  <c r="B12" i="3"/>
  <c r="B10" i="3" s="1"/>
  <c r="D9" i="3"/>
  <c r="C9" i="3"/>
  <c r="B9" i="3"/>
  <c r="D8" i="3"/>
  <c r="D7" i="3"/>
  <c r="C7" i="3"/>
  <c r="B7" i="3"/>
  <c r="D6" i="3"/>
  <c r="C6" i="3"/>
  <c r="B6" i="3"/>
  <c r="C2" i="3"/>
  <c r="B60" i="3" l="1"/>
  <c r="C31" i="3"/>
  <c r="C45" i="3"/>
  <c r="B63" i="3"/>
  <c r="B5" i="3"/>
  <c r="B31" i="3"/>
  <c r="D5" i="3"/>
  <c r="B45" i="3"/>
  <c r="C60" i="3"/>
  <c r="D31" i="3"/>
  <c r="B21" i="3"/>
  <c r="B28" i="3" s="1"/>
  <c r="C93" i="3"/>
  <c r="E80" i="3"/>
  <c r="D45" i="3"/>
  <c r="B93" i="3"/>
  <c r="E85" i="3"/>
  <c r="E79" i="3"/>
  <c r="E81" i="3"/>
  <c r="C16" i="3"/>
  <c r="D16" i="3"/>
  <c r="D93" i="3"/>
  <c r="D60" i="3"/>
  <c r="D63" i="3"/>
  <c r="E78" i="3"/>
  <c r="C5" i="3"/>
  <c r="D21" i="3"/>
  <c r="D28" i="3" l="1"/>
  <c r="C29" i="3"/>
  <c r="D29" i="3"/>
  <c r="B29" i="3"/>
  <c r="E93" i="3"/>
  <c r="C28" i="3"/>
  <c r="F13" i="2" l="1"/>
  <c r="E13" i="2"/>
  <c r="D13" i="2"/>
  <c r="C14" i="2"/>
  <c r="B13" i="2"/>
  <c r="F6" i="2"/>
  <c r="E14" i="2"/>
  <c r="D6" i="2"/>
  <c r="C6" i="2"/>
  <c r="B6" i="2"/>
  <c r="B14" i="2" s="1"/>
  <c r="F14" i="2" l="1"/>
  <c r="D14" i="2"/>
  <c r="B46" i="1"/>
  <c r="B44" i="1"/>
  <c r="B42" i="1"/>
  <c r="B40" i="1"/>
  <c r="C36" i="1"/>
  <c r="C47" i="1" s="1"/>
  <c r="B36" i="1"/>
  <c r="B34" i="1"/>
  <c r="B29" i="1"/>
  <c r="C27" i="1"/>
  <c r="B27" i="1"/>
  <c r="B26" i="1"/>
  <c r="B25" i="1"/>
  <c r="B23" i="1"/>
  <c r="C22" i="1"/>
  <c r="B22" i="1"/>
  <c r="C21" i="1"/>
  <c r="B21" i="1"/>
  <c r="B18" i="1"/>
  <c r="B47" i="1" l="1"/>
  <c r="B30" i="1"/>
  <c r="C30" i="1"/>
</calcChain>
</file>

<file path=xl/comments1.xml><?xml version="1.0" encoding="utf-8"?>
<comments xmlns="http://schemas.openxmlformats.org/spreadsheetml/2006/main">
  <authors>
    <author>Margot Paali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2000 Juss ja Tuule noorete ol. + 2014 aasta olümpiaettevalmistus toetus (Tõnis Luik)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Tõnis Luik stipendium + noorteolümpia (Tormis ja Anna Lotta 2000)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otsus 15.02.2015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4200 on toetus klubidele a 100.- EUR laps + Balti Karika medalivõitude eest per klubi sportlane juh. otsus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Borrufa + Whistler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500 kella rent
500 helitehnika + komm.
(väljamaksmata Nordikole 448.-EUR)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200.-EUR kella rent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klubide maksed läbi liidu koos liidu poolse kompensatsiooniga + toetus sportnõlva avamiseks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llma tiitlivõistlustele lähetuse toetuseta. 
</t>
        </r>
      </text>
    </comment>
    <comment ref="B78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KULKA+FIS CHI lähetus + üldjaotus
</t>
        </r>
      </text>
    </comment>
    <comment ref="C78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AE sponsorlus 5000.- + FIS Chi lähetus jm. </t>
        </r>
      </text>
    </comment>
    <comment ref="D78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ettevalmistus toetus vastavalt juhatuse otsusele 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kannet ei ole tehtud. </t>
        </r>
      </text>
    </comment>
    <comment ref="C79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EOK ettevalmistus kulupõhiselt</t>
        </r>
      </text>
    </comment>
    <comment ref="D79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Margot Paali:
ettevalmistus toetus vastavalt juhatuse otsusele </t>
        </r>
      </text>
    </comment>
    <comment ref="B80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1000.- EOK
</t>
        </r>
      </text>
    </comment>
    <comment ref="C80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toetused vastavalt juhatuse otsustele
</t>
        </r>
      </text>
    </comment>
    <comment ref="D80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Margot Paali:
ettevalmistus toetus vastavalt juhatuse otsusele 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kannet ei ole tehtud
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toetus vastavalt juhatuse otsustele</t>
        </r>
      </text>
    </comment>
    <comment ref="D81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Margot Paali:
ettevalmistus toetus vastavalt juhatuse otsusele </t>
        </r>
      </text>
    </comment>
    <comment ref="C82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toetus vastavalt juhatuse otsustele
</t>
        </r>
      </text>
    </comment>
    <comment ref="C83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toetus vastavalt juhatuse otsustele</t>
        </r>
      </text>
    </comment>
    <comment ref="B84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1000.- EOK</t>
        </r>
      </text>
    </comment>
    <comment ref="B85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BC üldvõit U14 / 2x300
</t>
        </r>
      </text>
    </comment>
    <comment ref="C85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KULKA Noor ja Andekas + koondise mäepileti komp. </t>
        </r>
      </text>
    </comment>
    <comment ref="D85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Noor ja Andekas
Mäepileti kompensatsioon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BC U12 üldvõit 100.-</t>
        </r>
      </text>
    </comment>
    <comment ref="C86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mäepileti kompensatsioon</t>
        </r>
      </text>
    </comment>
    <comment ref="D86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Margot Paali:
mäepileti kompensatsioon</t>
        </r>
      </text>
    </comment>
    <comment ref="B87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FIS Chi lähetus
</t>
        </r>
      </text>
    </comment>
    <comment ref="C87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koondis  mäepileti kompens. </t>
        </r>
      </text>
    </comment>
    <comment ref="D87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Margot Paali:
mäepileti kompensatsioon</t>
        </r>
      </text>
    </comment>
    <comment ref="B88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FIS CHI lähetus</t>
        </r>
      </text>
    </comment>
    <comment ref="C88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koondis, mäepileti kompens. </t>
        </r>
      </text>
    </comment>
    <comment ref="D88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Margot Paali:
mäepileti kompensatsioon</t>
        </r>
      </text>
    </comment>
    <comment ref="C89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koondis, mäepileti kompens</t>
        </r>
      </text>
    </comment>
    <comment ref="D90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Margot Paali:
mäepileti kompensatsioon</t>
        </r>
      </text>
    </comment>
    <comment ref="B91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Alexela reklaamides kasutamise eest</t>
        </r>
      </text>
    </comment>
    <comment ref="D91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Margot Paali:
mäepileti kompensatsioon</t>
        </r>
      </text>
    </comment>
    <comment ref="D92" authorId="0" shapeId="0">
      <text>
        <r>
          <rPr>
            <b/>
            <sz val="9"/>
            <color indexed="81"/>
            <rFont val="Tahoma"/>
            <family val="2"/>
            <charset val="186"/>
          </rPr>
          <t>Margot Paali:</t>
        </r>
        <r>
          <rPr>
            <sz val="9"/>
            <color indexed="81"/>
            <rFont val="Tahoma"/>
            <family val="2"/>
            <charset val="186"/>
          </rPr>
          <t xml:space="preserve">
Margot Paali:
mäepileti kompensatsioon</t>
        </r>
      </text>
    </comment>
  </commentList>
</comments>
</file>

<file path=xl/sharedStrings.xml><?xml version="1.0" encoding="utf-8"?>
<sst xmlns="http://schemas.openxmlformats.org/spreadsheetml/2006/main" count="192" uniqueCount="161">
  <si>
    <t>Allikas</t>
  </si>
  <si>
    <t>05.2016</t>
  </si>
  <si>
    <t>12.2016</t>
  </si>
  <si>
    <t>kokku 2016</t>
  </si>
  <si>
    <t>01.2017</t>
  </si>
  <si>
    <t>02.2017</t>
  </si>
  <si>
    <t>03.2017</t>
  </si>
  <si>
    <t>04.2017</t>
  </si>
  <si>
    <t>kokku 2017</t>
  </si>
  <si>
    <t xml:space="preserve">KOKKU </t>
  </si>
  <si>
    <t>meiliaadress</t>
  </si>
  <si>
    <t>Mäesuusatamine (L)</t>
  </si>
  <si>
    <t>r/e tegevustoetus</t>
  </si>
  <si>
    <t>r/e EMV korralduseks</t>
  </si>
  <si>
    <t>EOK OM ettevalmistus-L144</t>
  </si>
  <si>
    <t>r/e OM projekt</t>
  </si>
  <si>
    <t>HMN tiitlivõistlusteks</t>
  </si>
  <si>
    <t>r/e noortesport</t>
  </si>
  <si>
    <t>KULKA aastaprojektist</t>
  </si>
  <si>
    <t>Narva gate</t>
  </si>
  <si>
    <t>JSC Topplast - Tõnis Luik</t>
  </si>
  <si>
    <t>Tallinna LV toetus</t>
  </si>
  <si>
    <t>napal@napal.ee</t>
  </si>
  <si>
    <t>Alpiexpress</t>
  </si>
  <si>
    <t>renee@alpiexpress.ee</t>
  </si>
  <si>
    <t>Alexela Group</t>
  </si>
  <si>
    <t xml:space="preserve">2016-2017 hooeag prognoos </t>
  </si>
  <si>
    <t>Tulud</t>
  </si>
  <si>
    <t>Tegelik</t>
  </si>
  <si>
    <t>oodatav</t>
  </si>
  <si>
    <t xml:space="preserve">EOK OM projekt </t>
  </si>
  <si>
    <t xml:space="preserve">EOK Noorteolümpia </t>
  </si>
  <si>
    <t>EOK katus /30131</t>
  </si>
  <si>
    <t>Kultuuriministeerium /30141</t>
  </si>
  <si>
    <t>HMN /30142</t>
  </si>
  <si>
    <t>Kultuuriministeerium Noortesport /30101</t>
  </si>
  <si>
    <t>Kultuuriministeeriumi alaliitude toetus /erak</t>
  </si>
  <si>
    <t>Eesti Kultuurkapital /30161</t>
  </si>
  <si>
    <t>Eesti Kultuurkapital / üksikprojekt</t>
  </si>
  <si>
    <t>Tallinna Spordiamet /30301</t>
  </si>
  <si>
    <t>Võistluslitsentsid</t>
  </si>
  <si>
    <t>Sponsorid</t>
  </si>
  <si>
    <t>Kokku TULUD</t>
  </si>
  <si>
    <t xml:space="preserve">Kulud </t>
  </si>
  <si>
    <t>ASTE FB, reklaamkulud, server ja pangateenused</t>
  </si>
  <si>
    <t>MM võistlustele lähetus</t>
  </si>
  <si>
    <t>Juunioride MM</t>
  </si>
  <si>
    <t>Noorte Olümpia</t>
  </si>
  <si>
    <t>Noorte Alpi sari + muud Eesti võistlused</t>
  </si>
  <si>
    <t>Eesti MV korralduskulud</t>
  </si>
  <si>
    <t>Eesti MV toetus Pyhätunturile</t>
  </si>
  <si>
    <t>FIS Children lähetus</t>
  </si>
  <si>
    <t>Koondise riietus</t>
  </si>
  <si>
    <t>Toetused sportlastele</t>
  </si>
  <si>
    <t>Treenerite koolitus</t>
  </si>
  <si>
    <t>Büroo üldkulud + koolituskulud</t>
  </si>
  <si>
    <t>Kindlustused litsentside eest</t>
  </si>
  <si>
    <t xml:space="preserve">Muud kulud </t>
  </si>
  <si>
    <t>Kulud kokku</t>
  </si>
  <si>
    <t>Seisuga 30.aprill</t>
  </si>
  <si>
    <t>Riiklikud</t>
  </si>
  <si>
    <t>Muud</t>
  </si>
  <si>
    <t>Toetused sportlastele/klubidele</t>
  </si>
  <si>
    <t>Spordivahendid, varustus jms</t>
  </si>
  <si>
    <t>Võistluste toetused</t>
  </si>
  <si>
    <t xml:space="preserve">Büroo </t>
  </si>
  <si>
    <t xml:space="preserve">Muud </t>
  </si>
  <si>
    <t>Kokku KULUD</t>
  </si>
  <si>
    <t>Tulem</t>
  </si>
  <si>
    <t>prognoos</t>
  </si>
  <si>
    <t>TULUD</t>
  </si>
  <si>
    <t xml:space="preserve">Eelarve 2015/2016 täitmine </t>
  </si>
  <si>
    <t xml:space="preserve">Eelarve 2016/2017 täitmine </t>
  </si>
  <si>
    <t>Liikmetelt saadud tasud</t>
  </si>
  <si>
    <t>Osavõtumaksud</t>
  </si>
  <si>
    <t xml:space="preserve">Muud tasud </t>
  </si>
  <si>
    <t>Finantseerimine riigi-ja kohalikust eelarvest</t>
  </si>
  <si>
    <t>Kultuuriministeeriumi eelarvest tegevustoetus</t>
  </si>
  <si>
    <t>Kultuuriministeeriumi alaliitude toetus</t>
  </si>
  <si>
    <t>Kuluuriministeeriumi noortespordi toetus</t>
  </si>
  <si>
    <t>HMN toetus</t>
  </si>
  <si>
    <t>Finantseerimine kohalikest spordiorg</t>
  </si>
  <si>
    <t>-</t>
  </si>
  <si>
    <t>EOK katuseraha</t>
  </si>
  <si>
    <t>EOK olümpiaettevalmistuse toetus</t>
  </si>
  <si>
    <t>Tallinna LV noosoo ja spordiamet</t>
  </si>
  <si>
    <t>Finantseerimine rahvusvahelistelt spordiorg</t>
  </si>
  <si>
    <t>FIS toetus</t>
  </si>
  <si>
    <t>Toetused sihtkapitalidelt</t>
  </si>
  <si>
    <t>Kultuurkapital aastaprojekt</t>
    <phoneticPr fontId="0" type="noConversion"/>
  </si>
  <si>
    <t>Kultuurkapital "noor ja andekas" /?</t>
  </si>
  <si>
    <t>Kultuurkapitali stipendiumid</t>
  </si>
  <si>
    <t>HMN igakuised projektid klubidele</t>
  </si>
  <si>
    <t>Sponsor- ja reklaamlepingud</t>
  </si>
  <si>
    <t>Alexela Noorte Alpisari</t>
  </si>
  <si>
    <t>Alpiexpress piletitoetus</t>
  </si>
  <si>
    <t>Muud toetajad ja reklaamlepingud</t>
  </si>
  <si>
    <t>Muud tulud</t>
  </si>
  <si>
    <t>Finantstulud</t>
  </si>
  <si>
    <t>Intressitulu, valuutakasum</t>
  </si>
  <si>
    <t>Kokku TULU</t>
  </si>
  <si>
    <t>Kokku KULU</t>
  </si>
  <si>
    <t>KULUD</t>
  </si>
  <si>
    <t>Võistlused ja üritused</t>
  </si>
  <si>
    <t>Jun.MM´le lähetus</t>
  </si>
  <si>
    <t>ESL juunioride toetus tiitlivõistlustele</t>
  </si>
  <si>
    <t>MM´ile lähetus</t>
  </si>
  <si>
    <t xml:space="preserve">Balti karikas &amp; EMV </t>
  </si>
  <si>
    <t>FIS Võistluste makse EMV korralduse eest</t>
  </si>
  <si>
    <t>FIS Children</t>
  </si>
  <si>
    <t>Muud võistlused /Christmas Cup Munakas</t>
  </si>
  <si>
    <t>Koondiste toetused</t>
  </si>
  <si>
    <t>Juunioride koondis</t>
  </si>
  <si>
    <t>Noortekoondis</t>
  </si>
  <si>
    <t>Klubide toetus mäekeskus V.Munamägi / Sportnõlv</t>
  </si>
  <si>
    <t>Sportlaste ja klubide toetused</t>
  </si>
  <si>
    <t>Tormis Laine</t>
  </si>
  <si>
    <t xml:space="preserve">Juhan Luik </t>
  </si>
  <si>
    <t>Tõnis Luik</t>
  </si>
  <si>
    <t>Ranek Koni</t>
  </si>
  <si>
    <t>Triin Tobi</t>
  </si>
  <si>
    <t>Sten Mark Virro</t>
  </si>
  <si>
    <t>Erik Sume</t>
  </si>
  <si>
    <t>Karl Sebastian Dremljuga</t>
  </si>
  <si>
    <t>Carmen Piho</t>
  </si>
  <si>
    <t>Hans Markus Danilas</t>
  </si>
  <si>
    <t>Johanna Udras</t>
  </si>
  <si>
    <t>Paul Nurk</t>
  </si>
  <si>
    <t>Aleksander Luik</t>
  </si>
  <si>
    <t xml:space="preserve">Laur Mägi </t>
  </si>
  <si>
    <t>Alpine Ski Team Estonia</t>
  </si>
  <si>
    <t>Reklaam</t>
  </si>
  <si>
    <t>Postikulud jm pudi padi</t>
  </si>
  <si>
    <t>Riietus ja varustus</t>
  </si>
  <si>
    <t>Võistluste läbiviimiseks atribuutika/ kell, stardipukk</t>
  </si>
  <si>
    <t xml:space="preserve">Mäevarustus jm (tokid, turvaaiad jne) </t>
  </si>
  <si>
    <t>Projektid</t>
  </si>
  <si>
    <t>Alpiexpressi üritus suvel</t>
  </si>
  <si>
    <t>Mäesuuska promovad üritused</t>
  </si>
  <si>
    <t>Reklaamikulud</t>
  </si>
  <si>
    <t>Tööjõukulud</t>
  </si>
  <si>
    <t>Pangateenused+ serveri hooldus ASTE</t>
  </si>
  <si>
    <t>Finantseerimine sportlaste kaupa.</t>
  </si>
  <si>
    <t>2014/2015.a.</t>
  </si>
  <si>
    <t>2015/2016.a.</t>
  </si>
  <si>
    <t>2016/2017.a.</t>
  </si>
  <si>
    <t>makstud</t>
  </si>
  <si>
    <t>kokku per sportlane</t>
  </si>
  <si>
    <t>Tormis</t>
  </si>
  <si>
    <t>Tõnis</t>
  </si>
  <si>
    <t>Juhan</t>
  </si>
  <si>
    <t xml:space="preserve">Sten Mark </t>
  </si>
  <si>
    <t xml:space="preserve">Triin </t>
  </si>
  <si>
    <t>Ranek</t>
  </si>
  <si>
    <t>Tuule</t>
  </si>
  <si>
    <t>Johanna Udas</t>
  </si>
  <si>
    <t>Laur Mägi</t>
  </si>
  <si>
    <t>Kokku makstud</t>
  </si>
  <si>
    <t>Ületulev jääk</t>
  </si>
  <si>
    <t>Eelarve   2014/2015  täitmine</t>
  </si>
  <si>
    <t>Spordivahendid/arendused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</si>
</sst>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;[Red]0.000"/>
    <numFmt numFmtId="165" formatCode="#,##0.00\ _€"/>
    <numFmt numFmtId="166" formatCode="#,##0.00_ ;\-#,##0.00\ "/>
  </numFmts>
  <fonts count="7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6" tint="-0.249977111117893"/>
      <name val="Arial"/>
      <family val="2"/>
      <charset val="186"/>
    </font>
    <font>
      <b/>
      <sz val="10"/>
      <color rgb="FF92D050"/>
      <name val="Arial"/>
      <family val="2"/>
      <charset val="186"/>
    </font>
    <font>
      <b/>
      <sz val="10"/>
      <color theme="6" tint="-0.249977111117893"/>
      <name val="Arial"/>
      <family val="2"/>
      <charset val="186"/>
    </font>
    <font>
      <u/>
      <sz val="10"/>
      <color indexed="12"/>
      <name val="Arial"/>
      <family val="2"/>
      <charset val="186"/>
    </font>
    <font>
      <b/>
      <sz val="10"/>
      <color rgb="FF7030A0"/>
      <name val="Arial"/>
      <family val="2"/>
      <charset val="186"/>
    </font>
    <font>
      <sz val="9"/>
      <name val="Arial"/>
      <family val="2"/>
      <charset val="186"/>
    </font>
    <font>
      <sz val="10"/>
      <color rgb="FF1801BF"/>
      <name val="Calibri"/>
      <family val="2"/>
      <charset val="186"/>
      <scheme val="minor"/>
    </font>
    <font>
      <b/>
      <sz val="14"/>
      <color rgb="FF7030A0"/>
      <name val="Arial"/>
      <family val="2"/>
      <charset val="186"/>
    </font>
    <font>
      <b/>
      <sz val="11"/>
      <color rgb="FF7030A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1"/>
      <color theme="1"/>
      <name val="Calibri"/>
      <family val="2"/>
      <charset val="186"/>
      <scheme val="minor"/>
    </font>
    <font>
      <sz val="16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6"/>
      <color rgb="FF7030A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6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6"/>
      <color rgb="FFFF0000"/>
      <name val="Times New Roman"/>
      <family val="1"/>
      <charset val="186"/>
    </font>
    <font>
      <b/>
      <sz val="10"/>
      <color rgb="FF7030A0"/>
      <name val="Tahoma"/>
      <family val="2"/>
    </font>
    <font>
      <sz val="10"/>
      <color rgb="FF7030A0"/>
      <name val="Arial"/>
      <family val="2"/>
      <charset val="186"/>
    </font>
    <font>
      <sz val="10"/>
      <color rgb="FF7030A0"/>
      <name val="Tahoma"/>
      <family val="2"/>
    </font>
    <font>
      <sz val="10"/>
      <color rgb="FF002060"/>
      <name val="Arial"/>
      <family val="2"/>
      <charset val="186"/>
    </font>
    <font>
      <b/>
      <u/>
      <sz val="10"/>
      <color rgb="FF7030A0"/>
      <name val="Tahoma"/>
      <family val="2"/>
    </font>
    <font>
      <sz val="10"/>
      <color rgb="FF1801BF"/>
      <name val="Tahoma"/>
      <family val="2"/>
    </font>
    <font>
      <sz val="10"/>
      <color rgb="FF1801BF"/>
      <name val="Arial"/>
      <family val="2"/>
      <charset val="186"/>
    </font>
    <font>
      <sz val="10"/>
      <color rgb="FF1801BF"/>
      <name val="Tahoma"/>
      <family val="2"/>
      <charset val="186"/>
    </font>
    <font>
      <b/>
      <sz val="10"/>
      <color rgb="FF1801BF"/>
      <name val="Tahoma"/>
      <family val="2"/>
      <charset val="186"/>
    </font>
    <font>
      <b/>
      <sz val="10"/>
      <color rgb="FF002060"/>
      <name val="Arial"/>
      <family val="2"/>
      <charset val="186"/>
    </font>
    <font>
      <b/>
      <sz val="10"/>
      <color theme="1"/>
      <name val="Calibri"/>
      <family val="2"/>
      <charset val="186"/>
      <scheme val="minor"/>
    </font>
    <font>
      <b/>
      <sz val="11"/>
      <color rgb="FF1801BF"/>
      <name val="Calibri"/>
      <family val="2"/>
      <charset val="186"/>
      <scheme val="minor"/>
    </font>
    <font>
      <b/>
      <sz val="10"/>
      <color indexed="10"/>
      <name val="Tahoma"/>
      <family val="2"/>
    </font>
    <font>
      <b/>
      <sz val="10"/>
      <color rgb="FF1801BF"/>
      <name val="Calibri"/>
      <family val="2"/>
      <charset val="186"/>
      <scheme val="minor"/>
    </font>
    <font>
      <sz val="11"/>
      <color rgb="FF1801BF"/>
      <name val="Calibri"/>
      <family val="2"/>
      <charset val="186"/>
      <scheme val="minor"/>
    </font>
    <font>
      <sz val="8"/>
      <color rgb="FF1801BF"/>
      <name val="Tahoma"/>
      <family val="2"/>
    </font>
    <font>
      <sz val="8"/>
      <color indexed="12"/>
      <name val="Tahoma"/>
      <family val="2"/>
    </font>
    <font>
      <b/>
      <sz val="10"/>
      <color rgb="FF7030A0"/>
      <name val="Calibri"/>
      <family val="2"/>
      <charset val="186"/>
      <scheme val="minor"/>
    </font>
    <font>
      <b/>
      <sz val="9"/>
      <color rgb="FF7030A0"/>
      <name val="Calibri Light"/>
      <family val="2"/>
      <charset val="186"/>
      <scheme val="major"/>
    </font>
    <font>
      <b/>
      <sz val="10"/>
      <color rgb="FF002060"/>
      <name val="Calibri"/>
      <family val="2"/>
      <charset val="186"/>
      <scheme val="minor"/>
    </font>
    <font>
      <b/>
      <sz val="11"/>
      <color rgb="FF002060"/>
      <name val="Calibri"/>
      <family val="2"/>
      <charset val="186"/>
      <scheme val="minor"/>
    </font>
    <font>
      <b/>
      <sz val="9"/>
      <color rgb="FF002060"/>
      <name val="Calibri Light"/>
      <family val="2"/>
      <charset val="186"/>
      <scheme val="major"/>
    </font>
    <font>
      <sz val="10"/>
      <color theme="3"/>
      <name val="Calibri"/>
      <family val="2"/>
      <charset val="186"/>
      <scheme val="minor"/>
    </font>
    <font>
      <sz val="10"/>
      <color theme="1" tint="0.249977111117893"/>
      <name val="Calibri Light"/>
      <family val="2"/>
      <charset val="186"/>
      <scheme val="major"/>
    </font>
    <font>
      <sz val="9"/>
      <color rgb="FF002060"/>
      <name val="Calibri Light"/>
      <family val="2"/>
      <charset val="186"/>
      <scheme val="major"/>
    </font>
    <font>
      <sz val="10"/>
      <color rgb="FF002060"/>
      <name val="Calibri"/>
      <family val="2"/>
      <charset val="186"/>
      <scheme val="minor"/>
    </font>
    <font>
      <sz val="10"/>
      <name val="Calibri Light"/>
      <family val="2"/>
      <charset val="186"/>
      <scheme val="major"/>
    </font>
    <font>
      <sz val="10"/>
      <color theme="3"/>
      <name val="Calibri Light"/>
      <family val="1"/>
      <charset val="186"/>
      <scheme val="major"/>
    </font>
    <font>
      <sz val="9"/>
      <color theme="3"/>
      <name val="Calibri Light"/>
      <family val="2"/>
      <charset val="186"/>
      <scheme val="major"/>
    </font>
    <font>
      <b/>
      <sz val="10"/>
      <color rgb="FFC00000"/>
      <name val="Calibri"/>
      <family val="2"/>
      <charset val="186"/>
      <scheme val="minor"/>
    </font>
    <font>
      <sz val="8"/>
      <color theme="3"/>
      <name val="Tahoma"/>
      <family val="2"/>
    </font>
    <font>
      <sz val="10"/>
      <color theme="3"/>
      <name val="Arial"/>
      <family val="2"/>
      <charset val="186"/>
    </font>
    <font>
      <sz val="10"/>
      <color indexed="12"/>
      <name val="Tahoma"/>
      <family val="2"/>
    </font>
    <font>
      <sz val="10"/>
      <color theme="1"/>
      <name val="Calibri Light"/>
      <family val="2"/>
      <charset val="186"/>
      <scheme val="major"/>
    </font>
    <font>
      <b/>
      <sz val="8"/>
      <color indexed="12"/>
      <name val="Tahoma"/>
      <family val="2"/>
      <charset val="186"/>
    </font>
    <font>
      <sz val="8"/>
      <color rgb="FF002060"/>
      <name val="Tahoma"/>
      <family val="2"/>
    </font>
    <font>
      <sz val="10"/>
      <color rgb="FF002060"/>
      <name val="Calibri Light"/>
      <family val="2"/>
      <charset val="186"/>
      <scheme val="major"/>
    </font>
    <font>
      <sz val="10"/>
      <color rgb="FFFF0000"/>
      <name val="Tahoma"/>
      <family val="2"/>
    </font>
    <font>
      <b/>
      <sz val="8"/>
      <color rgb="FF002060"/>
      <name val="Tahoma"/>
      <family val="2"/>
      <charset val="186"/>
    </font>
    <font>
      <sz val="9"/>
      <name val="Calibri"/>
      <family val="2"/>
      <charset val="186"/>
      <scheme val="minor"/>
    </font>
    <font>
      <sz val="9"/>
      <color rgb="FF002060"/>
      <name val="Calibri"/>
      <family val="2"/>
      <charset val="186"/>
      <scheme val="minor"/>
    </font>
    <font>
      <b/>
      <sz val="12"/>
      <color rgb="FF7030A0"/>
      <name val="Arial"/>
      <family val="2"/>
      <charset val="186"/>
    </font>
    <font>
      <sz val="12"/>
      <name val="Calibri"/>
      <family val="2"/>
      <charset val="186"/>
      <scheme val="minor"/>
    </font>
    <font>
      <b/>
      <sz val="12"/>
      <name val="Tahoma"/>
      <family val="2"/>
    </font>
    <font>
      <b/>
      <sz val="12"/>
      <color rgb="FF7030A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rgb="FF002060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</cellStyleXfs>
  <cellXfs count="223">
    <xf numFmtId="0" fontId="0" fillId="0" borderId="0" xfId="0"/>
    <xf numFmtId="0" fontId="2" fillId="0" borderId="1" xfId="1" applyFont="1" applyBorder="1"/>
    <xf numFmtId="49" fontId="3" fillId="0" borderId="1" xfId="1" applyNumberFormat="1" applyFont="1" applyBorder="1"/>
    <xf numFmtId="164" fontId="3" fillId="0" borderId="2" xfId="1" applyNumberFormat="1" applyFont="1" applyBorder="1"/>
    <xf numFmtId="49" fontId="3" fillId="0" borderId="3" xfId="1" applyNumberFormat="1" applyFont="1" applyBorder="1"/>
    <xf numFmtId="164" fontId="3" fillId="0" borderId="1" xfId="1" applyNumberFormat="1" applyFont="1" applyBorder="1"/>
    <xf numFmtId="0" fontId="1" fillId="0" borderId="1" xfId="1" applyBorder="1"/>
    <xf numFmtId="0" fontId="3" fillId="0" borderId="1" xfId="1" applyFont="1" applyBorder="1"/>
    <xf numFmtId="0" fontId="3" fillId="0" borderId="4" xfId="1" applyFont="1" applyBorder="1"/>
    <xf numFmtId="0" fontId="4" fillId="0" borderId="0" xfId="0" applyFont="1"/>
    <xf numFmtId="0" fontId="2" fillId="2" borderId="1" xfId="1" applyFont="1" applyFill="1" applyBorder="1"/>
    <xf numFmtId="164" fontId="1" fillId="0" borderId="1" xfId="1" applyNumberFormat="1" applyFont="1" applyBorder="1"/>
    <xf numFmtId="164" fontId="1" fillId="0" borderId="4" xfId="1" applyNumberFormat="1" applyFont="1" applyBorder="1"/>
    <xf numFmtId="164" fontId="1" fillId="0" borderId="5" xfId="1" applyNumberFormat="1" applyFont="1" applyBorder="1"/>
    <xf numFmtId="164" fontId="1" fillId="0" borderId="3" xfId="1" applyNumberFormat="1" applyFont="1" applyBorder="1"/>
    <xf numFmtId="0" fontId="1" fillId="0" borderId="1" xfId="1" applyFont="1" applyBorder="1"/>
    <xf numFmtId="0" fontId="2" fillId="0" borderId="1" xfId="1" applyFont="1" applyFill="1" applyBorder="1"/>
    <xf numFmtId="0" fontId="1" fillId="0" borderId="0" xfId="1"/>
    <xf numFmtId="164" fontId="3" fillId="0" borderId="1" xfId="1" applyNumberFormat="1" applyFont="1" applyFill="1" applyBorder="1"/>
    <xf numFmtId="164" fontId="3" fillId="0" borderId="5" xfId="1" applyNumberFormat="1" applyFont="1" applyBorder="1"/>
    <xf numFmtId="164" fontId="1" fillId="0" borderId="1" xfId="1" applyNumberFormat="1" applyFont="1" applyFill="1" applyBorder="1"/>
    <xf numFmtId="164" fontId="5" fillId="0" borderId="1" xfId="1" applyNumberFormat="1" applyFont="1" applyBorder="1"/>
    <xf numFmtId="164" fontId="6" fillId="0" borderId="1" xfId="1" applyNumberFormat="1" applyFont="1" applyBorder="1"/>
    <xf numFmtId="164" fontId="3" fillId="0" borderId="4" xfId="1" applyNumberFormat="1" applyFont="1" applyBorder="1"/>
    <xf numFmtId="164" fontId="7" fillId="0" borderId="5" xfId="1" applyNumberFormat="1" applyFont="1" applyBorder="1"/>
    <xf numFmtId="164" fontId="6" fillId="0" borderId="3" xfId="1" applyNumberFormat="1" applyFont="1" applyBorder="1"/>
    <xf numFmtId="164" fontId="7" fillId="0" borderId="1" xfId="1" applyNumberFormat="1" applyFont="1" applyBorder="1"/>
    <xf numFmtId="0" fontId="8" fillId="0" borderId="1" xfId="2" applyBorder="1" applyAlignment="1" applyProtection="1"/>
    <xf numFmtId="0" fontId="4" fillId="0" borderId="0" xfId="0" applyFont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1" fillId="0" borderId="0" xfId="1" applyBorder="1" applyAlignment="1">
      <alignment horizontal="left"/>
    </xf>
    <xf numFmtId="0" fontId="10" fillId="0" borderId="0" xfId="1" applyFont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vertical="center"/>
    </xf>
    <xf numFmtId="0" fontId="4" fillId="0" borderId="0" xfId="0" applyFont="1" applyFill="1"/>
    <xf numFmtId="0" fontId="3" fillId="0" borderId="0" xfId="1" applyFont="1" applyBorder="1" applyAlignment="1">
      <alignment horizontal="left"/>
    </xf>
    <xf numFmtId="0" fontId="13" fillId="0" borderId="0" xfId="1" applyFont="1" applyBorder="1" applyAlignment="1">
      <alignment horizontal="left"/>
    </xf>
    <xf numFmtId="0" fontId="14" fillId="0" borderId="0" xfId="1" applyFont="1" applyBorder="1" applyAlignment="1">
      <alignment horizontal="left"/>
    </xf>
    <xf numFmtId="2" fontId="15" fillId="0" borderId="0" xfId="1" applyNumberFormat="1" applyFont="1" applyBorder="1" applyAlignment="1">
      <alignment horizontal="left"/>
    </xf>
    <xf numFmtId="0" fontId="4" fillId="0" borderId="3" xfId="0" applyFont="1" applyBorder="1"/>
    <xf numFmtId="0" fontId="4" fillId="0" borderId="1" xfId="0" applyFont="1" applyBorder="1" applyAlignment="1">
      <alignment horizontal="left"/>
    </xf>
    <xf numFmtId="0" fontId="1" fillId="0" borderId="1" xfId="1" applyFill="1" applyBorder="1"/>
    <xf numFmtId="0" fontId="19" fillId="0" borderId="0" xfId="0" applyFont="1"/>
    <xf numFmtId="0" fontId="20" fillId="0" borderId="0" xfId="0" applyFont="1"/>
    <xf numFmtId="0" fontId="21" fillId="0" borderId="1" xfId="1" applyFont="1" applyBorder="1" applyAlignment="1">
      <alignment horizontal="left"/>
    </xf>
    <xf numFmtId="0" fontId="21" fillId="0" borderId="1" xfId="1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0" fontId="22" fillId="0" borderId="0" xfId="0" applyFont="1"/>
    <xf numFmtId="0" fontId="23" fillId="3" borderId="1" xfId="1" applyFont="1" applyFill="1" applyBorder="1"/>
    <xf numFmtId="3" fontId="23" fillId="3" borderId="1" xfId="1" applyNumberFormat="1" applyFont="1" applyFill="1" applyBorder="1"/>
    <xf numFmtId="3" fontId="23" fillId="0" borderId="4" xfId="1" applyNumberFormat="1" applyFont="1" applyBorder="1"/>
    <xf numFmtId="3" fontId="23" fillId="0" borderId="1" xfId="1" applyNumberFormat="1" applyFont="1" applyBorder="1"/>
    <xf numFmtId="0" fontId="24" fillId="0" borderId="1" xfId="1" applyFont="1" applyBorder="1"/>
    <xf numFmtId="3" fontId="24" fillId="0" borderId="1" xfId="1" applyNumberFormat="1" applyFont="1" applyBorder="1"/>
    <xf numFmtId="3" fontId="24" fillId="0" borderId="4" xfId="1" applyNumberFormat="1" applyFont="1" applyBorder="1"/>
    <xf numFmtId="0" fontId="21" fillId="0" borderId="1" xfId="1" applyFont="1" applyBorder="1"/>
    <xf numFmtId="3" fontId="21" fillId="0" borderId="1" xfId="1" applyNumberFormat="1" applyFont="1" applyBorder="1" applyAlignment="1">
      <alignment horizontal="center"/>
    </xf>
    <xf numFmtId="3" fontId="21" fillId="0" borderId="4" xfId="1" applyNumberFormat="1" applyFont="1" applyBorder="1" applyAlignment="1">
      <alignment horizontal="center"/>
    </xf>
    <xf numFmtId="0" fontId="23" fillId="0" borderId="1" xfId="1" applyFont="1" applyBorder="1"/>
    <xf numFmtId="3" fontId="23" fillId="0" borderId="1" xfId="1" applyNumberFormat="1" applyFont="1" applyFill="1" applyBorder="1"/>
    <xf numFmtId="3" fontId="23" fillId="0" borderId="4" xfId="1" applyNumberFormat="1" applyFont="1" applyFill="1" applyBorder="1"/>
    <xf numFmtId="0" fontId="25" fillId="0" borderId="1" xfId="0" applyFont="1" applyBorder="1"/>
    <xf numFmtId="3" fontId="25" fillId="0" borderId="1" xfId="0" applyNumberFormat="1" applyFont="1" applyBorder="1"/>
    <xf numFmtId="0" fontId="26" fillId="0" borderId="0" xfId="0" applyFont="1"/>
    <xf numFmtId="0" fontId="27" fillId="0" borderId="1" xfId="0" applyFont="1" applyBorder="1"/>
    <xf numFmtId="4" fontId="28" fillId="0" borderId="1" xfId="0" applyNumberFormat="1" applyFont="1" applyFill="1" applyBorder="1" applyAlignment="1">
      <alignment horizontal="center" wrapText="1"/>
    </xf>
    <xf numFmtId="4" fontId="29" fillId="0" borderId="1" xfId="0" applyNumberFormat="1" applyFont="1" applyBorder="1" applyAlignment="1">
      <alignment horizontal="center" wrapText="1"/>
    </xf>
    <xf numFmtId="0" fontId="31" fillId="0" borderId="0" xfId="0" applyFont="1" applyBorder="1"/>
    <xf numFmtId="4" fontId="27" fillId="0" borderId="0" xfId="0" applyNumberFormat="1" applyFont="1" applyFill="1" applyAlignment="1">
      <alignment horizontal="center"/>
    </xf>
    <xf numFmtId="4" fontId="30" fillId="0" borderId="0" xfId="0" applyNumberFormat="1" applyFont="1" applyAlignment="1">
      <alignment horizontal="center"/>
    </xf>
    <xf numFmtId="0" fontId="32" fillId="0" borderId="0" xfId="0" applyFont="1"/>
    <xf numFmtId="4" fontId="33" fillId="0" borderId="0" xfId="0" applyNumberFormat="1" applyFont="1" applyAlignment="1">
      <alignment horizontal="center"/>
    </xf>
    <xf numFmtId="0" fontId="31" fillId="0" borderId="0" xfId="0" applyFont="1"/>
    <xf numFmtId="0" fontId="34" fillId="0" borderId="0" xfId="0" applyFont="1"/>
    <xf numFmtId="4" fontId="34" fillId="0" borderId="0" xfId="0" applyNumberFormat="1" applyFont="1" applyFill="1" applyAlignment="1">
      <alignment horizontal="center"/>
    </xf>
    <xf numFmtId="0" fontId="34" fillId="0" borderId="0" xfId="0" applyFont="1" applyFill="1" applyBorder="1" applyAlignment="1">
      <alignment vertical="top" wrapText="1"/>
    </xf>
    <xf numFmtId="4" fontId="11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32" fillId="0" borderId="0" xfId="0" applyFont="1" applyFill="1" applyBorder="1" applyAlignment="1">
      <alignment vertical="top" wrapText="1"/>
    </xf>
    <xf numFmtId="165" fontId="9" fillId="0" borderId="0" xfId="0" applyNumberFormat="1" applyFont="1" applyAlignment="1">
      <alignment horizontal="center"/>
    </xf>
    <xf numFmtId="4" fontId="33" fillId="0" borderId="0" xfId="0" applyNumberFormat="1" applyFont="1" applyFill="1" applyAlignment="1">
      <alignment horizontal="center"/>
    </xf>
    <xf numFmtId="0" fontId="31" fillId="0" borderId="0" xfId="0" applyFont="1" applyFill="1" applyBorder="1" applyAlignment="1">
      <alignment vertical="top" wrapText="1"/>
    </xf>
    <xf numFmtId="0" fontId="31" fillId="0" borderId="0" xfId="0" applyFont="1" applyFill="1" applyBorder="1"/>
    <xf numFmtId="4" fontId="36" fillId="0" borderId="0" xfId="0" applyNumberFormat="1" applyFont="1" applyAlignment="1">
      <alignment horizontal="center"/>
    </xf>
    <xf numFmtId="0" fontId="37" fillId="0" borderId="0" xfId="0" applyFont="1"/>
    <xf numFmtId="0" fontId="32" fillId="0" borderId="0" xfId="0" applyFont="1" applyBorder="1"/>
    <xf numFmtId="4" fontId="38" fillId="0" borderId="0" xfId="0" applyNumberFormat="1" applyFont="1" applyAlignment="1">
      <alignment horizontal="center"/>
    </xf>
    <xf numFmtId="0" fontId="39" fillId="0" borderId="1" xfId="0" applyFont="1" applyBorder="1"/>
    <xf numFmtId="4" fontId="4" fillId="0" borderId="0" xfId="0" applyNumberFormat="1" applyFont="1" applyAlignment="1">
      <alignment horizontal="center"/>
    </xf>
    <xf numFmtId="4" fontId="40" fillId="0" borderId="0" xfId="0" applyNumberFormat="1" applyFont="1" applyAlignment="1">
      <alignment horizontal="left"/>
    </xf>
    <xf numFmtId="4" fontId="0" fillId="0" borderId="0" xfId="0" applyNumberFormat="1" applyAlignment="1">
      <alignment horizontal="center"/>
    </xf>
    <xf numFmtId="4" fontId="39" fillId="0" borderId="1" xfId="3" applyNumberFormat="1" applyFont="1" applyBorder="1" applyAlignment="1">
      <alignment horizontal="center"/>
    </xf>
    <xf numFmtId="0" fontId="27" fillId="0" borderId="6" xfId="0" applyFont="1" applyBorder="1"/>
    <xf numFmtId="2" fontId="3" fillId="0" borderId="0" xfId="1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4" fontId="33" fillId="0" borderId="0" xfId="3" applyNumberFormat="1" applyFont="1" applyFill="1" applyAlignment="1">
      <alignment horizontal="center"/>
    </xf>
    <xf numFmtId="0" fontId="31" fillId="0" borderId="0" xfId="0" applyFont="1" applyAlignment="1">
      <alignment horizontal="left"/>
    </xf>
    <xf numFmtId="166" fontId="43" fillId="0" borderId="0" xfId="3" applyNumberFormat="1" applyFont="1" applyFill="1" applyAlignment="1">
      <alignment horizontal="center"/>
    </xf>
    <xf numFmtId="4" fontId="32" fillId="0" borderId="0" xfId="0" applyNumberFormat="1" applyFont="1" applyFill="1" applyAlignment="1">
      <alignment horizontal="center"/>
    </xf>
    <xf numFmtId="0" fontId="32" fillId="0" borderId="0" xfId="0" applyFont="1" applyAlignment="1">
      <alignment horizontal="left"/>
    </xf>
    <xf numFmtId="4" fontId="36" fillId="0" borderId="0" xfId="0" applyNumberFormat="1" applyFont="1" applyFill="1" applyAlignment="1">
      <alignment horizontal="center"/>
    </xf>
    <xf numFmtId="4" fontId="30" fillId="0" borderId="0" xfId="3" applyNumberFormat="1" applyFont="1" applyFill="1" applyAlignment="1">
      <alignment horizontal="center"/>
    </xf>
    <xf numFmtId="4" fontId="44" fillId="0" borderId="0" xfId="0" applyNumberFormat="1" applyFont="1" applyAlignment="1">
      <alignment horizontal="left"/>
    </xf>
    <xf numFmtId="4" fontId="45" fillId="0" borderId="0" xfId="0" applyNumberFormat="1" applyFont="1" applyAlignment="1">
      <alignment horizontal="left"/>
    </xf>
    <xf numFmtId="4" fontId="46" fillId="0" borderId="0" xfId="0" applyNumberFormat="1" applyFont="1" applyAlignment="1">
      <alignment horizontal="center"/>
    </xf>
    <xf numFmtId="0" fontId="47" fillId="0" borderId="0" xfId="0" applyFont="1"/>
    <xf numFmtId="4" fontId="48" fillId="0" borderId="0" xfId="0" applyNumberFormat="1" applyFont="1" applyAlignment="1">
      <alignment horizontal="center"/>
    </xf>
    <xf numFmtId="4" fontId="48" fillId="0" borderId="0" xfId="0" applyNumberFormat="1" applyFont="1" applyFill="1" applyAlignment="1">
      <alignment horizontal="center"/>
    </xf>
    <xf numFmtId="0" fontId="46" fillId="0" borderId="0" xfId="0" applyFont="1"/>
    <xf numFmtId="0" fontId="46" fillId="0" borderId="0" xfId="0" applyFont="1" applyFill="1"/>
    <xf numFmtId="0" fontId="46" fillId="0" borderId="0" xfId="0" applyFont="1" applyAlignment="1">
      <alignment horizontal="left"/>
    </xf>
    <xf numFmtId="166" fontId="49" fillId="0" borderId="0" xfId="3" applyNumberFormat="1" applyFont="1" applyFill="1" applyAlignment="1">
      <alignment horizontal="center"/>
    </xf>
    <xf numFmtId="0" fontId="51" fillId="0" borderId="0" xfId="0" applyFont="1" applyAlignment="1">
      <alignment horizontal="center"/>
    </xf>
    <xf numFmtId="4" fontId="51" fillId="0" borderId="0" xfId="0" applyNumberFormat="1" applyFont="1" applyAlignment="1">
      <alignment horizontal="center"/>
    </xf>
    <xf numFmtId="166" fontId="51" fillId="0" borderId="0" xfId="3" applyNumberFormat="1" applyFont="1" applyFill="1" applyAlignment="1">
      <alignment horizontal="center"/>
    </xf>
    <xf numFmtId="4" fontId="52" fillId="0" borderId="0" xfId="0" applyNumberFormat="1" applyFont="1" applyAlignment="1">
      <alignment horizontal="center"/>
    </xf>
    <xf numFmtId="4" fontId="51" fillId="0" borderId="0" xfId="0" applyNumberFormat="1" applyFont="1" applyFill="1" applyAlignment="1">
      <alignment horizontal="center"/>
    </xf>
    <xf numFmtId="4" fontId="49" fillId="0" borderId="0" xfId="0" applyNumberFormat="1" applyFont="1" applyFill="1" applyAlignment="1">
      <alignment horizontal="center"/>
    </xf>
    <xf numFmtId="4" fontId="48" fillId="0" borderId="0" xfId="0" applyNumberFormat="1" applyFont="1" applyAlignment="1"/>
    <xf numFmtId="166" fontId="46" fillId="0" borderId="0" xfId="3" applyNumberFormat="1" applyFont="1" applyFill="1" applyAlignment="1">
      <alignment horizontal="center"/>
    </xf>
    <xf numFmtId="4" fontId="51" fillId="0" borderId="0" xfId="0" applyNumberFormat="1" applyFont="1" applyAlignment="1"/>
    <xf numFmtId="4" fontId="55" fillId="0" borderId="0" xfId="0" applyNumberFormat="1" applyFont="1" applyFill="1" applyAlignment="1">
      <alignment horizontal="center"/>
    </xf>
    <xf numFmtId="166" fontId="54" fillId="0" borderId="0" xfId="3" applyNumberFormat="1" applyFont="1" applyFill="1" applyAlignment="1">
      <alignment horizontal="center"/>
    </xf>
    <xf numFmtId="4" fontId="50" fillId="0" borderId="0" xfId="0" applyNumberFormat="1" applyFont="1" applyAlignment="1">
      <alignment horizontal="center"/>
    </xf>
    <xf numFmtId="4" fontId="53" fillId="0" borderId="0" xfId="0" applyNumberFormat="1" applyFont="1" applyAlignment="1">
      <alignment horizontal="center"/>
    </xf>
    <xf numFmtId="166" fontId="57" fillId="0" borderId="0" xfId="3" applyNumberFormat="1" applyFont="1" applyFill="1" applyAlignment="1">
      <alignment horizontal="center"/>
    </xf>
    <xf numFmtId="4" fontId="58" fillId="0" borderId="0" xfId="0" applyNumberFormat="1" applyFont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43" fillId="0" borderId="0" xfId="0" applyFont="1"/>
    <xf numFmtId="0" fontId="43" fillId="0" borderId="0" xfId="0" applyFont="1" applyAlignment="1">
      <alignment horizontal="center"/>
    </xf>
    <xf numFmtId="166" fontId="59" fillId="0" borderId="0" xfId="3" applyNumberFormat="1" applyFont="1" applyFill="1" applyAlignment="1">
      <alignment horizontal="center"/>
    </xf>
    <xf numFmtId="0" fontId="60" fillId="0" borderId="0" xfId="0" applyFont="1"/>
    <xf numFmtId="0" fontId="61" fillId="0" borderId="0" xfId="0" applyFont="1"/>
    <xf numFmtId="4" fontId="60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2" fontId="62" fillId="0" borderId="0" xfId="0" applyNumberFormat="1" applyFont="1" applyAlignment="1">
      <alignment horizontal="right"/>
    </xf>
    <xf numFmtId="0" fontId="62" fillId="0" borderId="0" xfId="0" applyFont="1"/>
    <xf numFmtId="166" fontId="63" fillId="0" borderId="0" xfId="3" applyNumberFormat="1" applyFont="1" applyFill="1" applyAlignment="1">
      <alignment horizontal="center"/>
    </xf>
    <xf numFmtId="2" fontId="62" fillId="0" borderId="0" xfId="0" applyNumberFormat="1" applyFont="1"/>
    <xf numFmtId="0" fontId="51" fillId="0" borderId="0" xfId="0" applyFont="1" applyAlignment="1">
      <alignment horizontal="right"/>
    </xf>
    <xf numFmtId="2" fontId="51" fillId="0" borderId="0" xfId="0" applyNumberFormat="1" applyFont="1"/>
    <xf numFmtId="166" fontId="64" fillId="0" borderId="0" xfId="3" applyNumberFormat="1" applyFont="1" applyFill="1" applyAlignment="1">
      <alignment horizontal="center"/>
    </xf>
    <xf numFmtId="2" fontId="51" fillId="0" borderId="0" xfId="0" applyNumberFormat="1" applyFont="1" applyAlignment="1">
      <alignment horizontal="right"/>
    </xf>
    <xf numFmtId="0" fontId="65" fillId="0" borderId="0" xfId="0" applyFont="1" applyAlignment="1">
      <alignment horizontal="right"/>
    </xf>
    <xf numFmtId="0" fontId="65" fillId="0" borderId="0" xfId="0" applyFont="1"/>
    <xf numFmtId="4" fontId="56" fillId="0" borderId="0" xfId="0" applyNumberFormat="1" applyFont="1" applyFill="1"/>
    <xf numFmtId="0" fontId="42" fillId="0" borderId="0" xfId="0" applyFont="1" applyAlignment="1">
      <alignment horizontal="center"/>
    </xf>
    <xf numFmtId="0" fontId="42" fillId="0" borderId="0" xfId="0" applyFont="1"/>
    <xf numFmtId="4" fontId="52" fillId="0" borderId="0" xfId="0" applyNumberFormat="1" applyFont="1" applyAlignment="1">
      <alignment horizontal="left"/>
    </xf>
    <xf numFmtId="4" fontId="52" fillId="0" borderId="0" xfId="0" applyNumberFormat="1" applyFont="1" applyAlignment="1">
      <alignment horizontal="left" vertical="center"/>
    </xf>
    <xf numFmtId="4" fontId="52" fillId="0" borderId="0" xfId="0" applyNumberFormat="1" applyFont="1" applyFill="1" applyAlignment="1">
      <alignment horizontal="left"/>
    </xf>
    <xf numFmtId="4" fontId="52" fillId="0" borderId="0" xfId="0" applyNumberFormat="1" applyFont="1" applyFill="1" applyAlignment="1">
      <alignment horizontal="center"/>
    </xf>
    <xf numFmtId="4" fontId="66" fillId="0" borderId="0" xfId="0" applyNumberFormat="1" applyFont="1" applyFill="1" applyAlignment="1">
      <alignment horizontal="left"/>
    </xf>
    <xf numFmtId="2" fontId="52" fillId="0" borderId="0" xfId="0" applyNumberFormat="1" applyFont="1" applyFill="1" applyAlignment="1">
      <alignment horizontal="left"/>
    </xf>
    <xf numFmtId="4" fontId="67" fillId="0" borderId="0" xfId="0" applyNumberFormat="1" applyFont="1" applyFill="1" applyAlignment="1">
      <alignment horizontal="left"/>
    </xf>
    <xf numFmtId="0" fontId="52" fillId="0" borderId="0" xfId="0" applyFont="1" applyFill="1" applyAlignment="1">
      <alignment horizontal="left"/>
    </xf>
    <xf numFmtId="0" fontId="52" fillId="0" borderId="0" xfId="0" applyFont="1" applyFill="1"/>
    <xf numFmtId="4" fontId="4" fillId="0" borderId="0" xfId="0" applyNumberFormat="1" applyFont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Border="1"/>
    <xf numFmtId="0" fontId="9" fillId="0" borderId="0" xfId="1" applyFont="1" applyBorder="1" applyAlignment="1">
      <alignment horizontal="center"/>
    </xf>
    <xf numFmtId="0" fontId="11" fillId="0" borderId="0" xfId="0" applyFont="1" applyBorder="1"/>
    <xf numFmtId="0" fontId="1" fillId="0" borderId="0" xfId="1" applyBorder="1"/>
    <xf numFmtId="0" fontId="11" fillId="0" borderId="0" xfId="0" applyFont="1" applyBorder="1" applyAlignment="1">
      <alignment vertical="center"/>
    </xf>
    <xf numFmtId="0" fontId="4" fillId="0" borderId="0" xfId="0" applyFont="1" applyFill="1" applyBorder="1"/>
    <xf numFmtId="0" fontId="3" fillId="0" borderId="0" xfId="1" applyFont="1" applyBorder="1"/>
    <xf numFmtId="0" fontId="12" fillId="0" borderId="0" xfId="1" applyFont="1" applyBorder="1"/>
    <xf numFmtId="0" fontId="13" fillId="0" borderId="0" xfId="1" applyFont="1" applyBorder="1" applyAlignment="1">
      <alignment horizontal="center"/>
    </xf>
    <xf numFmtId="0" fontId="37" fillId="0" borderId="0" xfId="0" applyFont="1" applyBorder="1"/>
    <xf numFmtId="4" fontId="0" fillId="0" borderId="0" xfId="0" applyNumberFormat="1" applyBorder="1" applyAlignment="1">
      <alignment horizontal="center"/>
    </xf>
    <xf numFmtId="2" fontId="3" fillId="0" borderId="0" xfId="1" applyNumberFormat="1" applyFont="1" applyBorder="1"/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left"/>
    </xf>
    <xf numFmtId="0" fontId="41" fillId="0" borderId="0" xfId="0" applyFont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9" fillId="0" borderId="0" xfId="1" applyFont="1" applyFill="1" applyBorder="1" applyAlignment="1">
      <alignment horizontal="left"/>
    </xf>
    <xf numFmtId="0" fontId="1" fillId="0" borderId="0" xfId="1" applyFill="1" applyBorder="1"/>
    <xf numFmtId="3" fontId="19" fillId="0" borderId="1" xfId="0" applyNumberFormat="1" applyFont="1" applyBorder="1"/>
    <xf numFmtId="3" fontId="1" fillId="0" borderId="1" xfId="1" applyNumberFormat="1" applyFill="1" applyBorder="1"/>
    <xf numFmtId="3" fontId="1" fillId="0" borderId="1" xfId="1" applyNumberFormat="1" applyBorder="1"/>
    <xf numFmtId="3" fontId="3" fillId="0" borderId="1" xfId="1" applyNumberFormat="1" applyFont="1" applyBorder="1"/>
    <xf numFmtId="3" fontId="0" fillId="0" borderId="0" xfId="0" applyNumberFormat="1"/>
    <xf numFmtId="0" fontId="68" fillId="0" borderId="1" xfId="1" applyFont="1" applyBorder="1" applyAlignment="1">
      <alignment horizontal="left"/>
    </xf>
    <xf numFmtId="0" fontId="68" fillId="0" borderId="1" xfId="1" applyFont="1" applyBorder="1" applyAlignment="1">
      <alignment horizontal="center"/>
    </xf>
    <xf numFmtId="0" fontId="68" fillId="0" borderId="1" xfId="1" applyFont="1" applyBorder="1"/>
    <xf numFmtId="3" fontId="68" fillId="0" borderId="1" xfId="1" applyNumberFormat="1" applyFont="1" applyBorder="1" applyAlignment="1">
      <alignment horizontal="center"/>
    </xf>
    <xf numFmtId="4" fontId="4" fillId="0" borderId="0" xfId="0" applyNumberFormat="1" applyFont="1"/>
    <xf numFmtId="4" fontId="32" fillId="0" borderId="0" xfId="0" applyNumberFormat="1" applyFont="1" applyAlignment="1">
      <alignment horizontal="center"/>
    </xf>
    <xf numFmtId="4" fontId="32" fillId="0" borderId="0" xfId="3" applyNumberFormat="1" applyFont="1" applyFill="1" applyAlignment="1">
      <alignment horizontal="center"/>
    </xf>
    <xf numFmtId="4" fontId="11" fillId="0" borderId="0" xfId="0" applyNumberFormat="1" applyFont="1"/>
    <xf numFmtId="4" fontId="34" fillId="0" borderId="0" xfId="0" applyNumberFormat="1" applyFont="1" applyFill="1" applyBorder="1" applyAlignment="1">
      <alignment horizontal="center" vertical="top" wrapText="1"/>
    </xf>
    <xf numFmtId="4" fontId="11" fillId="0" borderId="0" xfId="0" applyNumberFormat="1" applyFont="1" applyFill="1"/>
    <xf numFmtId="4" fontId="11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32" fillId="0" borderId="0" xfId="0" applyNumberFormat="1" applyFont="1" applyFill="1" applyBorder="1" applyAlignment="1">
      <alignment horizontal="center" vertical="top" wrapText="1"/>
    </xf>
    <xf numFmtId="4" fontId="35" fillId="0" borderId="0" xfId="0" applyNumberFormat="1" applyFont="1" applyFill="1" applyBorder="1" applyAlignment="1">
      <alignment horizontal="center"/>
    </xf>
    <xf numFmtId="4" fontId="37" fillId="0" borderId="0" xfId="0" applyNumberFormat="1" applyFont="1"/>
    <xf numFmtId="4" fontId="32" fillId="0" borderId="0" xfId="0" applyNumberFormat="1" applyFont="1" applyBorder="1" applyAlignment="1">
      <alignment horizontal="center"/>
    </xf>
    <xf numFmtId="4" fontId="27" fillId="0" borderId="0" xfId="0" applyNumberFormat="1" applyFont="1" applyBorder="1" applyAlignment="1">
      <alignment horizontal="center"/>
    </xf>
    <xf numFmtId="4" fontId="27" fillId="0" borderId="0" xfId="0" applyNumberFormat="1" applyFont="1" applyFill="1" applyAlignment="1">
      <alignment horizontal="center" vertical="center" wrapText="1"/>
    </xf>
    <xf numFmtId="4" fontId="34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4" fontId="27" fillId="0" borderId="0" xfId="0" applyNumberFormat="1" applyFont="1" applyAlignment="1">
      <alignment horizontal="center"/>
    </xf>
    <xf numFmtId="4" fontId="69" fillId="0" borderId="0" xfId="0" applyNumberFormat="1" applyFont="1" applyFill="1" applyAlignment="1">
      <alignment horizontal="left"/>
    </xf>
    <xf numFmtId="0" fontId="69" fillId="0" borderId="0" xfId="0" applyFont="1" applyFill="1" applyAlignment="1">
      <alignment horizontal="left"/>
    </xf>
    <xf numFmtId="0" fontId="69" fillId="0" borderId="0" xfId="0" applyFont="1" applyAlignment="1">
      <alignment horizontal="left"/>
    </xf>
    <xf numFmtId="4" fontId="69" fillId="0" borderId="0" xfId="0" applyNumberFormat="1" applyFont="1" applyAlignment="1">
      <alignment horizontal="left"/>
    </xf>
    <xf numFmtId="0" fontId="70" fillId="0" borderId="0" xfId="0" applyFont="1"/>
    <xf numFmtId="4" fontId="71" fillId="0" borderId="0" xfId="0" applyNumberFormat="1" applyFont="1" applyAlignment="1">
      <alignment horizontal="left"/>
    </xf>
    <xf numFmtId="4" fontId="72" fillId="0" borderId="0" xfId="0" applyNumberFormat="1" applyFont="1" applyAlignment="1">
      <alignment horizontal="center"/>
    </xf>
    <xf numFmtId="4" fontId="73" fillId="0" borderId="0" xfId="0" applyNumberFormat="1" applyFont="1" applyFill="1" applyAlignment="1">
      <alignment horizontal="center"/>
    </xf>
    <xf numFmtId="4" fontId="73" fillId="0" borderId="0" xfId="0" applyNumberFormat="1" applyFont="1" applyAlignment="1">
      <alignment horizontal="center" vertical="justify"/>
    </xf>
    <xf numFmtId="166" fontId="74" fillId="0" borderId="0" xfId="3" applyNumberFormat="1" applyFont="1" applyFill="1" applyAlignment="1">
      <alignment horizontal="center"/>
    </xf>
    <xf numFmtId="4" fontId="74" fillId="0" borderId="0" xfId="0" applyNumberFormat="1" applyFont="1" applyAlignment="1">
      <alignment horizontal="center"/>
    </xf>
    <xf numFmtId="4" fontId="74" fillId="0" borderId="0" xfId="3" applyNumberFormat="1" applyFont="1" applyFill="1" applyAlignment="1">
      <alignment horizontal="center"/>
    </xf>
    <xf numFmtId="4" fontId="74" fillId="0" borderId="0" xfId="0" applyNumberFormat="1" applyFont="1" applyFill="1" applyAlignment="1">
      <alignment horizontal="center"/>
    </xf>
    <xf numFmtId="166" fontId="74" fillId="0" borderId="0" xfId="0" applyNumberFormat="1" applyFont="1" applyAlignment="1">
      <alignment horizontal="center"/>
    </xf>
    <xf numFmtId="166" fontId="75" fillId="0" borderId="0" xfId="3" applyNumberFormat="1" applyFont="1" applyFill="1" applyAlignment="1">
      <alignment horizontal="center"/>
    </xf>
    <xf numFmtId="166" fontId="75" fillId="0" borderId="0" xfId="0" applyNumberFormat="1" applyFont="1" applyAlignment="1">
      <alignment horizontal="center"/>
    </xf>
    <xf numFmtId="4" fontId="75" fillId="0" borderId="0" xfId="0" applyNumberFormat="1" applyFont="1" applyAlignment="1">
      <alignment horizontal="center"/>
    </xf>
  </cellXfs>
  <cellStyles count="4">
    <cellStyle name="Comma" xfId="3" builtinId="3"/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renee@alpiexpress.ee" TargetMode="External"/><Relationship Id="rId1" Type="http://schemas.openxmlformats.org/officeDocument/2006/relationships/hyperlink" Target="mailto:napal@napal.e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4" workbookViewId="0">
      <selection activeCell="H26" sqref="H26"/>
    </sheetView>
  </sheetViews>
  <sheetFormatPr defaultColWidth="8.85546875" defaultRowHeight="15" x14ac:dyDescent="0.25"/>
  <cols>
    <col min="1" max="1" width="42" style="44" bestFit="1" customWidth="1"/>
    <col min="2" max="2" width="12.28515625" style="44" customWidth="1"/>
    <col min="3" max="3" width="12.5703125" style="44" customWidth="1"/>
    <col min="4" max="4" width="10.5703125" style="44" customWidth="1"/>
    <col min="5" max="5" width="11.140625" style="44" customWidth="1"/>
    <col min="6" max="6" width="10.7109375" style="44" customWidth="1"/>
    <col min="7" max="16384" width="8.85546875" style="44"/>
  </cols>
  <sheetData>
    <row r="1" spans="1:6" ht="21" x14ac:dyDescent="0.4">
      <c r="A1" s="43" t="s">
        <v>59</v>
      </c>
      <c r="B1" s="43"/>
      <c r="C1" s="43"/>
      <c r="D1" s="43"/>
      <c r="E1" s="43"/>
      <c r="F1" s="64" t="s">
        <v>69</v>
      </c>
    </row>
    <row r="2" spans="1:6" s="48" customFormat="1" ht="20.45" x14ac:dyDescent="0.35">
      <c r="A2" s="45" t="s">
        <v>27</v>
      </c>
      <c r="B2" s="46">
        <v>2013</v>
      </c>
      <c r="C2" s="47">
        <v>2014</v>
      </c>
      <c r="D2" s="46">
        <v>2015</v>
      </c>
      <c r="E2" s="47">
        <v>2016</v>
      </c>
      <c r="F2" s="46">
        <v>2017</v>
      </c>
    </row>
    <row r="3" spans="1:6" ht="21" x14ac:dyDescent="0.4">
      <c r="A3" s="49" t="s">
        <v>60</v>
      </c>
      <c r="B3" s="50">
        <v>6201</v>
      </c>
      <c r="C3" s="51">
        <v>11438</v>
      </c>
      <c r="D3" s="50">
        <v>21526</v>
      </c>
      <c r="E3" s="51">
        <v>25711</v>
      </c>
      <c r="F3" s="52">
        <v>41130</v>
      </c>
    </row>
    <row r="4" spans="1:6" ht="21" x14ac:dyDescent="0.4">
      <c r="A4" s="49" t="s">
        <v>41</v>
      </c>
      <c r="B4" s="50">
        <v>7000</v>
      </c>
      <c r="C4" s="51">
        <v>23750</v>
      </c>
      <c r="D4" s="50">
        <v>33083</v>
      </c>
      <c r="E4" s="51">
        <v>12000</v>
      </c>
      <c r="F4" s="52">
        <v>24000</v>
      </c>
    </row>
    <row r="5" spans="1:6" ht="21" x14ac:dyDescent="0.4">
      <c r="A5" s="49" t="s">
        <v>61</v>
      </c>
      <c r="B5" s="50">
        <v>4901</v>
      </c>
      <c r="C5" s="51">
        <v>893</v>
      </c>
      <c r="D5" s="50">
        <v>2285</v>
      </c>
      <c r="E5" s="51">
        <v>0</v>
      </c>
      <c r="F5" s="52">
        <v>0</v>
      </c>
    </row>
    <row r="6" spans="1:6" ht="20.45" x14ac:dyDescent="0.35">
      <c r="A6" s="53" t="s">
        <v>42</v>
      </c>
      <c r="B6" s="54">
        <f>SUM(B3:B5)</f>
        <v>18102</v>
      </c>
      <c r="C6" s="55">
        <f>SUM(C3:C5)</f>
        <v>36081</v>
      </c>
      <c r="D6" s="54">
        <f>SUM(D3:D5)</f>
        <v>56894</v>
      </c>
      <c r="E6" s="55">
        <f>SUM(E3:E5)</f>
        <v>37711</v>
      </c>
      <c r="F6" s="54">
        <f>SUM(F3:F5)</f>
        <v>65130</v>
      </c>
    </row>
    <row r="7" spans="1:6" s="48" customFormat="1" ht="20.45" x14ac:dyDescent="0.35">
      <c r="A7" s="56" t="s">
        <v>43</v>
      </c>
      <c r="B7" s="57"/>
      <c r="C7" s="58"/>
      <c r="D7" s="57"/>
      <c r="E7" s="58"/>
      <c r="F7" s="57"/>
    </row>
    <row r="8" spans="1:6" ht="21" x14ac:dyDescent="0.4">
      <c r="A8" s="59" t="s">
        <v>62</v>
      </c>
      <c r="B8" s="50">
        <v>0</v>
      </c>
      <c r="C8" s="60">
        <v>17494</v>
      </c>
      <c r="D8" s="50">
        <v>12588</v>
      </c>
      <c r="E8" s="61">
        <v>32299</v>
      </c>
      <c r="F8" s="60">
        <v>20000</v>
      </c>
    </row>
    <row r="9" spans="1:6" ht="21" x14ac:dyDescent="0.4">
      <c r="A9" s="59" t="s">
        <v>63</v>
      </c>
      <c r="B9" s="52">
        <v>3408</v>
      </c>
      <c r="C9" s="51">
        <v>9571</v>
      </c>
      <c r="D9" s="52">
        <v>6047</v>
      </c>
      <c r="E9" s="51">
        <v>10270</v>
      </c>
      <c r="F9" s="52">
        <v>1000</v>
      </c>
    </row>
    <row r="10" spans="1:6" ht="20.25" x14ac:dyDescent="0.3">
      <c r="A10" s="59" t="s">
        <v>64</v>
      </c>
      <c r="B10" s="52">
        <v>2782</v>
      </c>
      <c r="C10" s="51">
        <v>3000</v>
      </c>
      <c r="D10" s="52">
        <v>9656</v>
      </c>
      <c r="E10" s="51">
        <v>20541</v>
      </c>
      <c r="F10" s="52">
        <v>29600</v>
      </c>
    </row>
    <row r="11" spans="1:6" ht="20.25" x14ac:dyDescent="0.3">
      <c r="A11" s="59" t="s">
        <v>65</v>
      </c>
      <c r="B11" s="52">
        <v>2800</v>
      </c>
      <c r="C11" s="51">
        <v>2940</v>
      </c>
      <c r="D11" s="52">
        <v>0</v>
      </c>
      <c r="E11" s="51">
        <v>1771</v>
      </c>
      <c r="F11" s="52">
        <v>1680</v>
      </c>
    </row>
    <row r="12" spans="1:6" ht="21" x14ac:dyDescent="0.4">
      <c r="A12" s="59" t="s">
        <v>66</v>
      </c>
      <c r="B12" s="52">
        <v>1091</v>
      </c>
      <c r="C12" s="51">
        <v>942</v>
      </c>
      <c r="D12" s="52">
        <v>873</v>
      </c>
      <c r="E12" s="51">
        <v>1053</v>
      </c>
      <c r="F12" s="52">
        <v>1000</v>
      </c>
    </row>
    <row r="13" spans="1:6" ht="20.45" x14ac:dyDescent="0.35">
      <c r="A13" s="53" t="s">
        <v>67</v>
      </c>
      <c r="B13" s="54">
        <f>SUM(B9:B12)</f>
        <v>10081</v>
      </c>
      <c r="C13" s="55">
        <f>SUM(C8:C12)</f>
        <v>33947</v>
      </c>
      <c r="D13" s="54">
        <f>SUM(D8:D12)</f>
        <v>29164</v>
      </c>
      <c r="E13" s="55">
        <f>SUM(E8:E12)</f>
        <v>65934</v>
      </c>
      <c r="F13" s="54">
        <f>SUM(F8:F12)</f>
        <v>53280</v>
      </c>
    </row>
    <row r="14" spans="1:6" ht="20.45" x14ac:dyDescent="0.35">
      <c r="A14" s="62" t="s">
        <v>68</v>
      </c>
      <c r="B14" s="63">
        <f>B6-B13</f>
        <v>8021</v>
      </c>
      <c r="C14" s="63">
        <f>C6-C13</f>
        <v>2134</v>
      </c>
      <c r="D14" s="63">
        <f>D6-D13</f>
        <v>27730</v>
      </c>
      <c r="E14" s="63">
        <f>E6-E13</f>
        <v>-28223</v>
      </c>
      <c r="F14" s="63">
        <f>F6-F13</f>
        <v>11850</v>
      </c>
    </row>
    <row r="16" spans="1:6" s="43" customFormat="1" ht="20.25" x14ac:dyDescent="0.3">
      <c r="A16" s="62" t="s">
        <v>158</v>
      </c>
      <c r="B16" s="180">
        <v>8939</v>
      </c>
      <c r="C16" s="180">
        <v>11073</v>
      </c>
      <c r="D16" s="180">
        <v>35800</v>
      </c>
      <c r="E16" s="180">
        <v>10077</v>
      </c>
      <c r="F16" s="180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opLeftCell="A16" workbookViewId="0">
      <selection activeCell="C29" sqref="C29"/>
    </sheetView>
  </sheetViews>
  <sheetFormatPr defaultRowHeight="15" x14ac:dyDescent="0.25"/>
  <cols>
    <col min="1" max="1" width="31.42578125" customWidth="1"/>
    <col min="2" max="2" width="12.85546875" customWidth="1"/>
    <col min="3" max="3" width="13.42578125" customWidth="1"/>
    <col min="4" max="4" width="22.140625" customWidth="1"/>
    <col min="5" max="5" width="35.28515625" customWidth="1"/>
    <col min="10" max="10" width="11.85546875" customWidth="1"/>
    <col min="17" max="26" width="0" hidden="1" customWidth="1"/>
  </cols>
  <sheetData>
    <row r="1" spans="1:30" ht="15.75" hidden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 t="s">
        <v>2</v>
      </c>
      <c r="J1" s="3" t="s">
        <v>3</v>
      </c>
      <c r="K1" s="4" t="s">
        <v>4</v>
      </c>
      <c r="L1" s="2" t="s">
        <v>5</v>
      </c>
      <c r="M1" s="2" t="s">
        <v>6</v>
      </c>
      <c r="N1" s="2" t="s">
        <v>7</v>
      </c>
      <c r="O1" s="5" t="s">
        <v>8</v>
      </c>
      <c r="P1" s="5" t="s">
        <v>9</v>
      </c>
      <c r="Q1" s="6"/>
      <c r="R1" s="6"/>
      <c r="S1" s="6"/>
      <c r="T1" s="6"/>
      <c r="U1" s="6"/>
      <c r="V1" s="6"/>
      <c r="W1" s="6"/>
      <c r="X1" s="6"/>
      <c r="Y1" s="6"/>
      <c r="Z1" s="7"/>
      <c r="AA1" s="8" t="s">
        <v>0</v>
      </c>
      <c r="AB1" s="6" t="s">
        <v>10</v>
      </c>
      <c r="AD1" s="9"/>
    </row>
    <row r="2" spans="1:30" ht="15.75" hidden="1" x14ac:dyDescent="0.25">
      <c r="A2" s="10" t="s">
        <v>11</v>
      </c>
      <c r="B2" s="11"/>
      <c r="C2" s="11"/>
      <c r="D2" s="11"/>
      <c r="E2" s="11"/>
      <c r="F2" s="11"/>
      <c r="G2" s="11"/>
      <c r="H2" s="11"/>
      <c r="I2" s="12"/>
      <c r="J2" s="13"/>
      <c r="K2" s="14"/>
      <c r="L2" s="11"/>
      <c r="M2" s="11"/>
      <c r="N2" s="11"/>
      <c r="O2" s="11"/>
      <c r="P2" s="11"/>
      <c r="Q2" s="15"/>
      <c r="R2" s="15"/>
      <c r="S2" s="15"/>
      <c r="T2" s="15"/>
      <c r="U2" s="15"/>
      <c r="V2" s="15"/>
      <c r="W2" s="15"/>
      <c r="X2" s="15"/>
      <c r="Y2" s="15"/>
      <c r="Z2" s="15"/>
      <c r="AA2" s="16" t="s">
        <v>11</v>
      </c>
      <c r="AB2" s="6"/>
      <c r="AC2" s="17"/>
      <c r="AD2" s="9"/>
    </row>
    <row r="3" spans="1:30" hidden="1" x14ac:dyDescent="0.25">
      <c r="A3" s="7" t="s">
        <v>12</v>
      </c>
      <c r="B3" s="5">
        <v>1.125</v>
      </c>
      <c r="C3" s="11"/>
      <c r="D3" s="11"/>
      <c r="E3" s="11"/>
      <c r="F3" s="11"/>
      <c r="G3" s="11"/>
      <c r="H3" s="11"/>
      <c r="I3" s="12"/>
      <c r="J3" s="13">
        <v>1.7629999999999999</v>
      </c>
      <c r="K3" s="14"/>
      <c r="L3" s="11"/>
      <c r="M3" s="11"/>
      <c r="N3" s="11"/>
      <c r="O3" s="11">
        <v>0</v>
      </c>
      <c r="P3" s="11">
        <v>1.7629999999999999</v>
      </c>
      <c r="Q3" s="15"/>
      <c r="R3" s="15"/>
      <c r="S3" s="15"/>
      <c r="T3" s="15"/>
      <c r="U3" s="15"/>
      <c r="V3" s="15"/>
      <c r="W3" s="15"/>
      <c r="X3" s="15"/>
      <c r="Y3" s="15"/>
      <c r="Z3" s="15"/>
      <c r="AA3" s="7" t="s">
        <v>12</v>
      </c>
      <c r="AB3" s="6"/>
      <c r="AC3" s="17"/>
      <c r="AD3" s="9"/>
    </row>
    <row r="4" spans="1:30" hidden="1" x14ac:dyDescent="0.25">
      <c r="A4" s="15" t="s">
        <v>13</v>
      </c>
      <c r="B4" s="11"/>
      <c r="C4" s="11"/>
      <c r="D4" s="11"/>
      <c r="E4" s="11"/>
      <c r="F4" s="11"/>
      <c r="G4" s="11"/>
      <c r="H4" s="11"/>
      <c r="I4" s="12"/>
      <c r="J4" s="13">
        <v>0</v>
      </c>
      <c r="K4" s="14"/>
      <c r="L4" s="11"/>
      <c r="M4" s="11"/>
      <c r="N4" s="11"/>
      <c r="O4" s="11">
        <v>0</v>
      </c>
      <c r="P4" s="11">
        <v>0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7" t="s">
        <v>13</v>
      </c>
      <c r="AB4" s="6"/>
      <c r="AC4" s="17"/>
      <c r="AD4" s="9"/>
    </row>
    <row r="5" spans="1:30" hidden="1" x14ac:dyDescent="0.25">
      <c r="A5" s="7" t="s">
        <v>14</v>
      </c>
      <c r="B5" s="5">
        <v>0.72</v>
      </c>
      <c r="C5" s="11"/>
      <c r="D5" s="11"/>
      <c r="E5" s="11"/>
      <c r="F5" s="11"/>
      <c r="G5" s="11"/>
      <c r="H5" s="11"/>
      <c r="I5" s="11">
        <v>0.72</v>
      </c>
      <c r="J5" s="13">
        <v>5.7599999999999989</v>
      </c>
      <c r="K5" s="11">
        <v>0.72</v>
      </c>
      <c r="L5" s="11">
        <v>0.72</v>
      </c>
      <c r="M5" s="11">
        <v>0.8</v>
      </c>
      <c r="N5" s="11">
        <v>0.8</v>
      </c>
      <c r="O5" s="11">
        <v>3.04</v>
      </c>
      <c r="P5" s="11">
        <v>8.7999999999999989</v>
      </c>
      <c r="Q5" s="15"/>
      <c r="R5" s="15"/>
      <c r="S5" s="15"/>
      <c r="T5" s="15"/>
      <c r="U5" s="15"/>
      <c r="V5" s="15"/>
      <c r="W5" s="15"/>
      <c r="X5" s="15"/>
      <c r="Y5" s="15"/>
      <c r="Z5" s="15"/>
      <c r="AA5" s="7" t="s">
        <v>15</v>
      </c>
      <c r="AB5" s="6"/>
      <c r="AC5" s="17"/>
      <c r="AD5" s="9"/>
    </row>
    <row r="6" spans="1:30" hidden="1" x14ac:dyDescent="0.25">
      <c r="A6" s="7" t="s">
        <v>16</v>
      </c>
      <c r="B6" s="14">
        <v>0.104</v>
      </c>
      <c r="C6" s="14"/>
      <c r="D6" s="11"/>
      <c r="E6" s="11"/>
      <c r="F6" s="14"/>
      <c r="G6" s="14"/>
      <c r="H6" s="11"/>
      <c r="I6" s="11">
        <v>0.104</v>
      </c>
      <c r="J6" s="13">
        <v>0.83199999999999996</v>
      </c>
      <c r="K6" s="14"/>
      <c r="L6" s="14"/>
      <c r="M6" s="11"/>
      <c r="N6" s="11"/>
      <c r="O6" s="11">
        <v>0</v>
      </c>
      <c r="P6" s="11">
        <v>0.83199999999999996</v>
      </c>
      <c r="Q6" s="15"/>
      <c r="R6" s="15"/>
      <c r="S6" s="15"/>
      <c r="T6" s="15"/>
      <c r="U6" s="15"/>
      <c r="V6" s="15"/>
      <c r="W6" s="15"/>
      <c r="X6" s="15"/>
      <c r="Y6" s="15"/>
      <c r="Z6" s="15"/>
      <c r="AA6" s="7" t="s">
        <v>16</v>
      </c>
      <c r="AB6" s="6"/>
      <c r="AD6" s="9"/>
    </row>
    <row r="7" spans="1:30" hidden="1" x14ac:dyDescent="0.25">
      <c r="A7" s="7" t="s">
        <v>17</v>
      </c>
      <c r="B7" s="18">
        <v>0.998</v>
      </c>
      <c r="C7" s="11"/>
      <c r="D7" s="11"/>
      <c r="E7" s="11"/>
      <c r="F7" s="11"/>
      <c r="G7" s="11"/>
      <c r="H7" s="11"/>
      <c r="I7" s="12"/>
      <c r="J7" s="19">
        <v>0.998</v>
      </c>
      <c r="K7" s="14"/>
      <c r="L7" s="11"/>
      <c r="M7" s="11"/>
      <c r="N7" s="11"/>
      <c r="O7" s="11">
        <v>0</v>
      </c>
      <c r="P7" s="11">
        <v>0.998</v>
      </c>
      <c r="Q7" s="15"/>
      <c r="R7" s="15"/>
      <c r="S7" s="15"/>
      <c r="T7" s="15"/>
      <c r="U7" s="15"/>
      <c r="V7" s="15"/>
      <c r="W7" s="15"/>
      <c r="X7" s="15"/>
      <c r="Y7" s="15"/>
      <c r="Z7" s="15"/>
      <c r="AA7" s="7" t="s">
        <v>17</v>
      </c>
      <c r="AB7" s="6"/>
      <c r="AD7" s="9"/>
    </row>
    <row r="8" spans="1:30" hidden="1" x14ac:dyDescent="0.25">
      <c r="A8" s="7"/>
      <c r="B8" s="18"/>
      <c r="C8" s="11"/>
      <c r="D8" s="11"/>
      <c r="E8" s="11"/>
      <c r="F8" s="11"/>
      <c r="G8" s="11"/>
      <c r="H8" s="11"/>
      <c r="I8" s="12"/>
      <c r="J8" s="19"/>
      <c r="K8" s="14"/>
      <c r="L8" s="11"/>
      <c r="M8" s="11"/>
      <c r="N8" s="11"/>
      <c r="O8" s="11"/>
      <c r="P8" s="11"/>
      <c r="Q8" s="15"/>
      <c r="R8" s="15"/>
      <c r="S8" s="15"/>
      <c r="T8" s="15"/>
      <c r="U8" s="15"/>
      <c r="V8" s="15"/>
      <c r="W8" s="15"/>
      <c r="X8" s="15"/>
      <c r="Y8" s="15"/>
      <c r="Z8" s="15"/>
      <c r="AA8" s="7"/>
      <c r="AB8" s="6"/>
      <c r="AD8" s="9"/>
    </row>
    <row r="9" spans="1:30" hidden="1" x14ac:dyDescent="0.25">
      <c r="A9" s="7" t="s">
        <v>18</v>
      </c>
      <c r="B9" s="20"/>
      <c r="C9" s="11"/>
      <c r="D9" s="11"/>
      <c r="E9" s="11"/>
      <c r="F9" s="11"/>
      <c r="G9" s="11"/>
      <c r="H9" s="11"/>
      <c r="I9" s="12"/>
      <c r="J9" s="13">
        <v>0.66600000000000004</v>
      </c>
      <c r="K9" s="14"/>
      <c r="L9" s="11"/>
      <c r="M9" s="11"/>
      <c r="N9" s="11"/>
      <c r="O9" s="11">
        <v>0</v>
      </c>
      <c r="P9" s="11">
        <v>0.66600000000000004</v>
      </c>
      <c r="Q9" s="15"/>
      <c r="R9" s="15"/>
      <c r="S9" s="15"/>
      <c r="T9" s="15"/>
      <c r="U9" s="15"/>
      <c r="V9" s="15"/>
      <c r="W9" s="15"/>
      <c r="X9" s="15"/>
      <c r="Y9" s="15"/>
      <c r="Z9" s="15"/>
      <c r="AA9" s="7" t="s">
        <v>18</v>
      </c>
      <c r="AB9" s="6"/>
      <c r="AD9" s="9"/>
    </row>
    <row r="10" spans="1:30" hidden="1" x14ac:dyDescent="0.25">
      <c r="A10" s="7" t="s">
        <v>19</v>
      </c>
      <c r="B10" s="18">
        <v>1</v>
      </c>
      <c r="C10" s="11"/>
      <c r="D10" s="11"/>
      <c r="E10" s="11"/>
      <c r="F10" s="11"/>
      <c r="G10" s="11"/>
      <c r="H10" s="11"/>
      <c r="I10" s="12"/>
      <c r="J10" s="13">
        <v>1</v>
      </c>
      <c r="K10" s="14"/>
      <c r="L10" s="11"/>
      <c r="M10" s="11"/>
      <c r="N10" s="11"/>
      <c r="O10" s="11">
        <v>0</v>
      </c>
      <c r="P10" s="11">
        <v>1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7" t="s">
        <v>19</v>
      </c>
      <c r="AB10" s="6"/>
      <c r="AD10" s="9"/>
    </row>
    <row r="11" spans="1:30" hidden="1" x14ac:dyDescent="0.25">
      <c r="A11" s="15" t="s">
        <v>20</v>
      </c>
      <c r="B11" s="20"/>
      <c r="C11" s="11"/>
      <c r="D11" s="11"/>
      <c r="E11" s="11"/>
      <c r="F11" s="11"/>
      <c r="G11" s="11"/>
      <c r="H11" s="21"/>
      <c r="I11" s="12"/>
      <c r="J11" s="13">
        <v>0</v>
      </c>
      <c r="K11" s="14"/>
      <c r="L11" s="11"/>
      <c r="M11" s="11"/>
      <c r="N11" s="11"/>
      <c r="O11" s="11">
        <v>0</v>
      </c>
      <c r="P11" s="11">
        <v>0</v>
      </c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7" t="s">
        <v>20</v>
      </c>
      <c r="AB11" s="6"/>
      <c r="AD11" s="9"/>
    </row>
    <row r="12" spans="1:30" hidden="1" x14ac:dyDescent="0.25">
      <c r="A12" s="7" t="s">
        <v>21</v>
      </c>
      <c r="B12" s="22">
        <v>2.5</v>
      </c>
      <c r="C12" s="5"/>
      <c r="D12" s="5"/>
      <c r="E12" s="5"/>
      <c r="F12" s="5"/>
      <c r="G12" s="22"/>
      <c r="H12" s="5"/>
      <c r="I12" s="23"/>
      <c r="J12" s="24">
        <v>2.5</v>
      </c>
      <c r="K12" s="25"/>
      <c r="L12" s="22"/>
      <c r="M12" s="22"/>
      <c r="N12" s="22"/>
      <c r="O12" s="22">
        <v>0</v>
      </c>
      <c r="P12" s="26">
        <v>2.5</v>
      </c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7" t="s">
        <v>21</v>
      </c>
      <c r="AB12" s="27" t="s">
        <v>22</v>
      </c>
      <c r="AD12" s="9"/>
    </row>
    <row r="13" spans="1:30" hidden="1" x14ac:dyDescent="0.25">
      <c r="A13" s="15" t="s">
        <v>23</v>
      </c>
      <c r="B13" s="11"/>
      <c r="C13" s="11"/>
      <c r="D13" s="11"/>
      <c r="E13" s="11"/>
      <c r="F13" s="11"/>
      <c r="G13" s="11"/>
      <c r="H13" s="11"/>
      <c r="I13" s="12"/>
      <c r="J13" s="13">
        <v>0</v>
      </c>
      <c r="K13" s="14"/>
      <c r="L13" s="11"/>
      <c r="M13" s="11"/>
      <c r="N13" s="11"/>
      <c r="O13" s="11">
        <v>0</v>
      </c>
      <c r="P13" s="11">
        <v>0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7" t="s">
        <v>23</v>
      </c>
      <c r="AB13" s="27" t="s">
        <v>24</v>
      </c>
      <c r="AD13" s="9"/>
    </row>
    <row r="14" spans="1:30" hidden="1" x14ac:dyDescent="0.25">
      <c r="A14" s="15" t="s">
        <v>25</v>
      </c>
      <c r="B14" s="11"/>
      <c r="C14" s="11"/>
      <c r="D14" s="11"/>
      <c r="E14" s="11"/>
      <c r="F14" s="11"/>
      <c r="G14" s="11"/>
      <c r="H14" s="11"/>
      <c r="I14" s="12"/>
      <c r="J14" s="13">
        <v>0</v>
      </c>
      <c r="K14" s="14"/>
      <c r="L14" s="11"/>
      <c r="M14" s="11"/>
      <c r="N14" s="11"/>
      <c r="O14" s="11">
        <v>0</v>
      </c>
      <c r="P14" s="11">
        <v>0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7" t="s">
        <v>25</v>
      </c>
      <c r="AB14" s="27"/>
      <c r="AD14" s="9"/>
    </row>
    <row r="15" spans="1:30" hidden="1" x14ac:dyDescent="0.25">
      <c r="AD15" s="9"/>
    </row>
    <row r="16" spans="1:30" x14ac:dyDescent="0.25">
      <c r="A16" s="41"/>
      <c r="B16" s="29" t="s">
        <v>26</v>
      </c>
      <c r="C16" s="40"/>
      <c r="D16" s="28"/>
      <c r="H16" s="9"/>
      <c r="I16" s="9"/>
      <c r="AD16" s="9"/>
    </row>
    <row r="17" spans="1:9" ht="15.75" x14ac:dyDescent="0.25">
      <c r="A17" s="185" t="s">
        <v>27</v>
      </c>
      <c r="B17" s="186" t="s">
        <v>28</v>
      </c>
      <c r="C17" s="186" t="s">
        <v>29</v>
      </c>
      <c r="D17" s="30"/>
      <c r="E17" s="9"/>
      <c r="F17" s="9"/>
      <c r="G17" s="9"/>
      <c r="H17" s="9"/>
      <c r="I17" s="9"/>
    </row>
    <row r="18" spans="1:9" x14ac:dyDescent="0.25">
      <c r="A18" s="42" t="s">
        <v>30</v>
      </c>
      <c r="B18" s="181">
        <f>9*720</f>
        <v>6480</v>
      </c>
      <c r="C18" s="182">
        <v>9600</v>
      </c>
      <c r="D18" s="31"/>
      <c r="E18" s="9"/>
      <c r="F18" s="9"/>
      <c r="G18" s="9"/>
      <c r="H18" s="9"/>
      <c r="I18" s="9"/>
    </row>
    <row r="19" spans="1:9" x14ac:dyDescent="0.25">
      <c r="A19" s="42" t="s">
        <v>31</v>
      </c>
      <c r="B19" s="181">
        <v>0</v>
      </c>
      <c r="C19" s="182">
        <v>2800</v>
      </c>
      <c r="D19" s="31"/>
      <c r="E19" s="9"/>
      <c r="F19" s="9"/>
      <c r="G19" s="9"/>
      <c r="H19" s="9"/>
      <c r="I19" s="9"/>
    </row>
    <row r="20" spans="1:9" x14ac:dyDescent="0.25">
      <c r="A20" s="42" t="s">
        <v>32</v>
      </c>
      <c r="B20" s="181">
        <v>0</v>
      </c>
      <c r="C20" s="182">
        <v>10000</v>
      </c>
      <c r="D20" s="31"/>
      <c r="E20" s="9"/>
      <c r="F20" s="9"/>
      <c r="G20" s="9"/>
      <c r="H20" s="9"/>
      <c r="I20" s="9"/>
    </row>
    <row r="21" spans="1:9" x14ac:dyDescent="0.25">
      <c r="A21" s="42" t="s">
        <v>33</v>
      </c>
      <c r="B21" s="181">
        <f>638</f>
        <v>638</v>
      </c>
      <c r="C21" s="182">
        <f>3000+2000</f>
        <v>5000</v>
      </c>
      <c r="D21" s="32"/>
      <c r="E21" s="33"/>
      <c r="F21" s="9"/>
      <c r="G21" s="9"/>
      <c r="H21" s="9"/>
      <c r="I21" s="9"/>
    </row>
    <row r="22" spans="1:9" x14ac:dyDescent="0.25">
      <c r="A22" s="42" t="s">
        <v>34</v>
      </c>
      <c r="B22" s="181">
        <f>1029</f>
        <v>1029</v>
      </c>
      <c r="C22" s="182">
        <f>2*1000</f>
        <v>2000</v>
      </c>
      <c r="D22" s="31"/>
      <c r="E22" s="34"/>
      <c r="F22" s="9"/>
      <c r="G22" s="9"/>
      <c r="H22" s="9"/>
      <c r="I22" s="9"/>
    </row>
    <row r="23" spans="1:9" x14ac:dyDescent="0.25">
      <c r="A23" s="42" t="s">
        <v>35</v>
      </c>
      <c r="B23" s="181">
        <f>1112</f>
        <v>1112</v>
      </c>
      <c r="C23" s="182">
        <v>1000</v>
      </c>
      <c r="D23" s="31"/>
      <c r="E23" s="33"/>
      <c r="F23" s="9"/>
      <c r="G23" s="9"/>
      <c r="H23" s="9"/>
      <c r="I23" s="9"/>
    </row>
    <row r="24" spans="1:9" x14ac:dyDescent="0.25">
      <c r="A24" s="42" t="s">
        <v>36</v>
      </c>
      <c r="B24" s="181">
        <v>2117.65</v>
      </c>
      <c r="C24" s="182"/>
      <c r="D24" s="31"/>
      <c r="E24" s="33"/>
      <c r="F24" s="9"/>
      <c r="G24" s="9"/>
      <c r="H24" s="9"/>
      <c r="I24" s="9"/>
    </row>
    <row r="25" spans="1:9" x14ac:dyDescent="0.25">
      <c r="A25" s="42" t="s">
        <v>37</v>
      </c>
      <c r="B25" s="181">
        <f>666</f>
        <v>666</v>
      </c>
      <c r="C25" s="182">
        <v>1786</v>
      </c>
      <c r="D25" s="31"/>
      <c r="E25" s="9"/>
      <c r="F25" s="9"/>
      <c r="G25" s="9"/>
      <c r="H25" s="9"/>
      <c r="I25" s="9"/>
    </row>
    <row r="26" spans="1:9" x14ac:dyDescent="0.25">
      <c r="A26" s="42" t="s">
        <v>38</v>
      </c>
      <c r="B26" s="181">
        <f>650+800</f>
        <v>1450</v>
      </c>
      <c r="C26" s="182">
        <v>3950</v>
      </c>
      <c r="D26" s="31"/>
      <c r="E26" s="9"/>
      <c r="F26" s="9"/>
      <c r="G26" s="9"/>
      <c r="H26" s="9"/>
      <c r="I26" s="9"/>
    </row>
    <row r="27" spans="1:9" x14ac:dyDescent="0.25">
      <c r="A27" s="42" t="s">
        <v>39</v>
      </c>
      <c r="B27" s="181">
        <f>2500</f>
        <v>2500</v>
      </c>
      <c r="C27" s="182">
        <f>5000</f>
        <v>5000</v>
      </c>
      <c r="D27" s="31"/>
      <c r="E27" s="9"/>
      <c r="F27" s="9"/>
      <c r="G27" s="9"/>
      <c r="H27" s="9"/>
      <c r="I27" s="9"/>
    </row>
    <row r="28" spans="1:9" x14ac:dyDescent="0.25">
      <c r="A28" s="42" t="s">
        <v>40</v>
      </c>
      <c r="B28" s="181">
        <v>0</v>
      </c>
      <c r="C28" s="182">
        <v>0</v>
      </c>
      <c r="D28" s="31"/>
      <c r="E28" s="9"/>
      <c r="F28" s="9"/>
      <c r="G28" s="9"/>
      <c r="H28" s="9"/>
      <c r="I28" s="9"/>
    </row>
    <row r="29" spans="1:9" x14ac:dyDescent="0.25">
      <c r="A29" s="42" t="s">
        <v>41</v>
      </c>
      <c r="B29" s="181">
        <f>1000+975</f>
        <v>1975</v>
      </c>
      <c r="C29" s="182">
        <v>24000</v>
      </c>
      <c r="D29" s="31"/>
      <c r="E29" s="35"/>
      <c r="F29" s="9"/>
      <c r="G29" s="9"/>
      <c r="H29" s="9"/>
      <c r="I29" s="9"/>
    </row>
    <row r="30" spans="1:9" x14ac:dyDescent="0.25">
      <c r="A30" s="7" t="s">
        <v>42</v>
      </c>
      <c r="B30" s="183">
        <f>SUM(B18:B29)</f>
        <v>17967.650000000001</v>
      </c>
      <c r="C30" s="183">
        <f>SUM(C18:C29)</f>
        <v>65136</v>
      </c>
      <c r="D30" s="36"/>
      <c r="E30" s="9"/>
      <c r="F30" s="9"/>
      <c r="G30" s="9"/>
      <c r="H30" s="9"/>
      <c r="I30" s="9"/>
    </row>
    <row r="31" spans="1:9" ht="15.75" x14ac:dyDescent="0.25">
      <c r="A31" s="187" t="s">
        <v>43</v>
      </c>
      <c r="B31" s="188" t="s">
        <v>28</v>
      </c>
      <c r="C31" s="188" t="s">
        <v>29</v>
      </c>
      <c r="D31" s="37"/>
      <c r="E31" s="9"/>
      <c r="F31" s="9"/>
      <c r="G31" s="9"/>
      <c r="H31" s="9"/>
      <c r="I31" s="9"/>
    </row>
    <row r="32" spans="1:9" x14ac:dyDescent="0.25">
      <c r="A32" s="6" t="s">
        <v>44</v>
      </c>
      <c r="B32" s="182"/>
      <c r="C32" s="182"/>
      <c r="D32" s="38"/>
      <c r="E32" s="9"/>
      <c r="F32" s="9"/>
      <c r="G32" s="9"/>
      <c r="H32" s="9"/>
      <c r="I32" s="9"/>
    </row>
    <row r="33" spans="1:9" x14ac:dyDescent="0.25">
      <c r="A33" s="6" t="s">
        <v>45</v>
      </c>
      <c r="B33" s="182">
        <v>1000</v>
      </c>
      <c r="C33" s="182">
        <v>5000</v>
      </c>
      <c r="D33" s="38"/>
      <c r="E33" s="9"/>
      <c r="F33" s="9"/>
      <c r="G33" s="9"/>
      <c r="H33" s="9"/>
      <c r="I33" s="9"/>
    </row>
    <row r="34" spans="1:9" x14ac:dyDescent="0.25">
      <c r="A34" s="6" t="s">
        <v>46</v>
      </c>
      <c r="B34" s="182">
        <f>1757</f>
        <v>1757</v>
      </c>
      <c r="C34" s="182">
        <v>4000</v>
      </c>
      <c r="D34" s="38"/>
      <c r="E34" s="9"/>
      <c r="F34" s="9"/>
      <c r="G34" s="9"/>
      <c r="H34" s="9"/>
      <c r="I34" s="9"/>
    </row>
    <row r="35" spans="1:9" x14ac:dyDescent="0.25">
      <c r="A35" s="6" t="s">
        <v>47</v>
      </c>
      <c r="B35" s="182">
        <v>0</v>
      </c>
      <c r="C35" s="182">
        <v>2800</v>
      </c>
      <c r="D35" s="38"/>
      <c r="E35" s="9"/>
      <c r="F35" s="9"/>
      <c r="G35" s="9"/>
      <c r="H35" s="9"/>
      <c r="I35" s="9"/>
    </row>
    <row r="36" spans="1:9" x14ac:dyDescent="0.25">
      <c r="A36" s="6" t="s">
        <v>48</v>
      </c>
      <c r="B36" s="182">
        <f>1200+230+235</f>
        <v>1665</v>
      </c>
      <c r="C36" s="182">
        <f>7000+800</f>
        <v>7800</v>
      </c>
      <c r="D36" s="38"/>
      <c r="E36" s="9"/>
      <c r="F36" s="9"/>
      <c r="G36" s="9"/>
      <c r="H36" s="9"/>
      <c r="I36" s="9"/>
    </row>
    <row r="37" spans="1:9" x14ac:dyDescent="0.25">
      <c r="A37" s="6" t="s">
        <v>49</v>
      </c>
      <c r="B37" s="182">
        <v>0</v>
      </c>
      <c r="C37" s="182">
        <v>3000</v>
      </c>
      <c r="D37" s="38"/>
      <c r="E37" s="9"/>
      <c r="F37" s="9"/>
      <c r="G37" s="9"/>
      <c r="H37" s="9"/>
      <c r="I37" s="9"/>
    </row>
    <row r="38" spans="1:9" x14ac:dyDescent="0.25">
      <c r="A38" s="6" t="s">
        <v>50</v>
      </c>
      <c r="B38" s="182">
        <v>3000</v>
      </c>
      <c r="C38" s="182">
        <v>3500</v>
      </c>
      <c r="D38" s="38"/>
      <c r="E38" s="9"/>
      <c r="F38" s="9"/>
      <c r="G38" s="9"/>
      <c r="H38" s="9"/>
      <c r="I38" s="9"/>
    </row>
    <row r="39" spans="1:9" x14ac:dyDescent="0.25">
      <c r="A39" s="6" t="s">
        <v>51</v>
      </c>
      <c r="B39" s="182">
        <v>0</v>
      </c>
      <c r="C39" s="182">
        <v>3500</v>
      </c>
      <c r="D39" s="38"/>
      <c r="E39" s="9"/>
      <c r="F39" s="9"/>
      <c r="G39" s="9"/>
      <c r="H39" s="9"/>
      <c r="I39" s="9"/>
    </row>
    <row r="40" spans="1:9" x14ac:dyDescent="0.25">
      <c r="A40" s="6" t="s">
        <v>52</v>
      </c>
      <c r="B40" s="182">
        <f>878.75</f>
        <v>878.75</v>
      </c>
      <c r="C40" s="182">
        <v>1000</v>
      </c>
      <c r="D40" s="38"/>
      <c r="E40" s="9"/>
      <c r="F40" s="9"/>
      <c r="G40" s="9"/>
      <c r="H40" s="9"/>
      <c r="I40" s="9"/>
    </row>
    <row r="41" spans="1:9" x14ac:dyDescent="0.25">
      <c r="A41" s="6" t="s">
        <v>160</v>
      </c>
      <c r="B41" s="182">
        <v>0</v>
      </c>
      <c r="C41" s="182">
        <v>1000</v>
      </c>
      <c r="D41" s="38"/>
      <c r="E41" s="9"/>
      <c r="F41" s="9"/>
      <c r="G41" s="9"/>
      <c r="H41" s="9"/>
      <c r="I41" s="9"/>
    </row>
    <row r="42" spans="1:9" x14ac:dyDescent="0.25">
      <c r="A42" s="6" t="s">
        <v>53</v>
      </c>
      <c r="B42" s="182">
        <f>2143.63+5028+5559+333+(5*128)+(2*110)+3000</f>
        <v>16923.63</v>
      </c>
      <c r="C42" s="182">
        <v>20000</v>
      </c>
      <c r="D42" s="38"/>
      <c r="E42" s="9"/>
      <c r="F42" s="9"/>
      <c r="G42" s="9"/>
      <c r="H42" s="9"/>
      <c r="I42" s="9"/>
    </row>
    <row r="43" spans="1:9" x14ac:dyDescent="0.25">
      <c r="A43" s="6" t="s">
        <v>54</v>
      </c>
      <c r="B43" s="182">
        <v>0</v>
      </c>
      <c r="C43" s="182">
        <v>0</v>
      </c>
      <c r="D43" s="38"/>
      <c r="E43" s="9"/>
      <c r="F43" s="9"/>
      <c r="G43" s="9"/>
      <c r="H43" s="9"/>
      <c r="I43" s="9"/>
    </row>
    <row r="44" spans="1:9" x14ac:dyDescent="0.25">
      <c r="A44" s="6" t="s">
        <v>55</v>
      </c>
      <c r="B44" s="182">
        <f>1680</f>
        <v>1680</v>
      </c>
      <c r="C44" s="182">
        <v>1680</v>
      </c>
      <c r="D44" s="38"/>
      <c r="E44" s="9"/>
      <c r="F44" s="9"/>
      <c r="G44" s="9"/>
      <c r="H44" s="9"/>
      <c r="I44" s="9"/>
    </row>
    <row r="45" spans="1:9" x14ac:dyDescent="0.25">
      <c r="A45" s="6" t="s">
        <v>56</v>
      </c>
      <c r="B45" s="182">
        <v>0</v>
      </c>
      <c r="C45" s="182">
        <v>0</v>
      </c>
      <c r="D45" s="38"/>
      <c r="E45" s="9"/>
      <c r="F45" s="9"/>
      <c r="G45" s="9"/>
      <c r="H45" s="9"/>
      <c r="I45" s="9"/>
    </row>
    <row r="46" spans="1:9" x14ac:dyDescent="0.25">
      <c r="A46" s="6" t="s">
        <v>57</v>
      </c>
      <c r="B46" s="182">
        <f>56.68+49</f>
        <v>105.68</v>
      </c>
      <c r="C46" s="182"/>
      <c r="D46" s="38"/>
      <c r="E46" s="9"/>
      <c r="F46" s="9"/>
      <c r="G46" s="9"/>
      <c r="H46" s="9"/>
      <c r="I46" s="9"/>
    </row>
    <row r="47" spans="1:9" x14ac:dyDescent="0.25">
      <c r="A47" s="7" t="s">
        <v>58</v>
      </c>
      <c r="B47" s="183">
        <f>SUM(B32:B46)</f>
        <v>27010.06</v>
      </c>
      <c r="C47" s="183">
        <f>SUM(C32:C46)</f>
        <v>53280</v>
      </c>
      <c r="D47" s="39"/>
      <c r="E47" s="9"/>
      <c r="F47" s="9"/>
      <c r="G47" s="9"/>
      <c r="H47" s="9"/>
      <c r="I47" s="9"/>
    </row>
    <row r="48" spans="1:9" x14ac:dyDescent="0.25">
      <c r="B48" s="184"/>
      <c r="C48" s="184"/>
    </row>
    <row r="49" spans="2:3" x14ac:dyDescent="0.25">
      <c r="B49" s="184"/>
      <c r="C49" s="184"/>
    </row>
  </sheetData>
  <hyperlinks>
    <hyperlink ref="AB12" r:id="rId1"/>
    <hyperlink ref="AB13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50"/>
  <sheetViews>
    <sheetView tabSelected="1" topLeftCell="A25" workbookViewId="0">
      <selection activeCell="D36" sqref="D36"/>
    </sheetView>
  </sheetViews>
  <sheetFormatPr defaultColWidth="9.140625" defaultRowHeight="15" x14ac:dyDescent="0.25"/>
  <cols>
    <col min="1" max="1" width="43.42578125" style="89" bestFit="1" customWidth="1"/>
    <col min="2" max="2" width="13.28515625" style="89" customWidth="1"/>
    <col min="3" max="3" width="13.42578125" style="89" customWidth="1"/>
    <col min="4" max="4" width="15.85546875" style="89" customWidth="1"/>
    <col min="5" max="5" width="14.5703125" style="89" customWidth="1"/>
    <col min="6" max="6" width="17.5703125" style="89" customWidth="1"/>
    <col min="7" max="7" width="16.28515625" style="89" customWidth="1"/>
    <col min="8" max="8" width="13.7109375" customWidth="1"/>
    <col min="9" max="9" width="17" customWidth="1"/>
    <col min="10" max="10" width="12.7109375" style="70" customWidth="1"/>
    <col min="11" max="11" width="12.7109375" style="89" hidden="1" customWidth="1"/>
    <col min="12" max="12" width="15.5703125" style="9" hidden="1" customWidth="1"/>
    <col min="13" max="13" width="34.7109375" style="9" hidden="1" customWidth="1"/>
    <col min="14" max="14" width="23.5703125" style="9" hidden="1" customWidth="1"/>
    <col min="15" max="15" width="23.85546875" style="9" hidden="1" customWidth="1"/>
    <col min="16" max="16" width="14.85546875" style="9" hidden="1" customWidth="1"/>
    <col min="17" max="17" width="11.140625" style="9" hidden="1" customWidth="1"/>
    <col min="18" max="18" width="13.85546875" style="28" hidden="1" customWidth="1"/>
    <col min="19" max="47" width="0" style="9" hidden="1" customWidth="1"/>
    <col min="48" max="16384" width="9.140625" style="9"/>
  </cols>
  <sheetData>
    <row r="1" spans="1:48" ht="38.25" x14ac:dyDescent="0.2">
      <c r="A1" s="65" t="s">
        <v>70</v>
      </c>
      <c r="B1" s="66" t="s">
        <v>159</v>
      </c>
      <c r="C1" s="67" t="s">
        <v>71</v>
      </c>
      <c r="D1" s="67" t="s">
        <v>72</v>
      </c>
      <c r="E1" s="9"/>
      <c r="F1" s="9"/>
      <c r="G1" s="9"/>
      <c r="H1" s="166"/>
      <c r="I1" s="159"/>
      <c r="J1" s="159"/>
      <c r="K1" s="160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</row>
    <row r="2" spans="1:48" x14ac:dyDescent="0.25">
      <c r="A2" s="68" t="s">
        <v>73</v>
      </c>
      <c r="B2" s="69">
        <f>SUM(B3:B4)</f>
        <v>0</v>
      </c>
      <c r="C2" s="69">
        <f>SUM(C3:C4)</f>
        <v>0</v>
      </c>
      <c r="D2" s="69">
        <f>SUM(D3:D4)</f>
        <v>0</v>
      </c>
      <c r="E2" s="189"/>
      <c r="F2" s="9"/>
      <c r="G2" s="9"/>
      <c r="H2" s="176"/>
      <c r="I2" s="30"/>
      <c r="J2" s="159"/>
      <c r="K2" s="160"/>
      <c r="L2" s="161"/>
      <c r="M2" s="161"/>
      <c r="N2" s="161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</row>
    <row r="3" spans="1:48" s="33" customFormat="1" x14ac:dyDescent="0.25">
      <c r="A3" s="71" t="s">
        <v>74</v>
      </c>
      <c r="B3" s="190">
        <v>0</v>
      </c>
      <c r="C3" s="191">
        <v>0</v>
      </c>
      <c r="D3" s="72">
        <v>0</v>
      </c>
      <c r="E3" s="192"/>
      <c r="H3" s="177"/>
      <c r="I3" s="162"/>
      <c r="J3" s="159"/>
      <c r="K3" s="160"/>
      <c r="L3" s="161"/>
      <c r="M3" s="161"/>
      <c r="N3" s="159"/>
      <c r="O3" s="159"/>
      <c r="P3" s="159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</row>
    <row r="4" spans="1:48" s="33" customFormat="1" x14ac:dyDescent="0.25">
      <c r="A4" s="71" t="s">
        <v>75</v>
      </c>
      <c r="B4" s="190">
        <v>0</v>
      </c>
      <c r="C4" s="191">
        <v>0</v>
      </c>
      <c r="D4" s="72">
        <v>0</v>
      </c>
      <c r="E4" s="192"/>
      <c r="H4" s="177"/>
      <c r="I4" s="162"/>
      <c r="J4" s="159"/>
      <c r="K4" s="160"/>
      <c r="L4" s="161"/>
      <c r="M4" s="159"/>
      <c r="N4" s="159"/>
      <c r="O4" s="159"/>
      <c r="P4" s="159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</row>
    <row r="5" spans="1:48" x14ac:dyDescent="0.25">
      <c r="A5" s="73" t="s">
        <v>76</v>
      </c>
      <c r="B5" s="69">
        <f>SUM(B6:B9)</f>
        <v>8533.77</v>
      </c>
      <c r="C5" s="69">
        <f>SUM(C6:C9)</f>
        <v>6974</v>
      </c>
      <c r="D5" s="69">
        <f>SUM(D6:D9)</f>
        <v>5044.3500000000004</v>
      </c>
      <c r="E5" s="189"/>
      <c r="F5" s="9"/>
      <c r="G5" s="9"/>
      <c r="H5" s="177"/>
      <c r="I5" s="162"/>
      <c r="J5" s="159"/>
      <c r="K5" s="160"/>
      <c r="L5" s="161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</row>
    <row r="6" spans="1:48" s="33" customFormat="1" x14ac:dyDescent="0.25">
      <c r="A6" s="74" t="s">
        <v>77</v>
      </c>
      <c r="B6" s="193">
        <f>2763.75</f>
        <v>2763.75</v>
      </c>
      <c r="C6" s="99">
        <f>2417.96</f>
        <v>2417.96</v>
      </c>
      <c r="D6" s="81">
        <f>638.7</f>
        <v>638.70000000000005</v>
      </c>
      <c r="E6" s="192"/>
      <c r="H6" s="177"/>
      <c r="I6" s="162"/>
      <c r="J6" s="159"/>
      <c r="K6" s="160"/>
      <c r="L6" s="161"/>
      <c r="M6" s="159"/>
      <c r="N6" s="159"/>
      <c r="O6" s="159"/>
      <c r="P6" s="159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</row>
    <row r="7" spans="1:48" s="33" customFormat="1" ht="12.75" x14ac:dyDescent="0.2">
      <c r="A7" s="76" t="s">
        <v>78</v>
      </c>
      <c r="B7" s="75">
        <f>2*504.96+1359.3+750</f>
        <v>3119.22</v>
      </c>
      <c r="C7" s="191">
        <f>539.37+539.37+2889.3</f>
        <v>3968.04</v>
      </c>
      <c r="D7" s="81">
        <f>2117.65</f>
        <v>2117.65</v>
      </c>
      <c r="E7" s="192"/>
      <c r="H7" s="178"/>
      <c r="I7" s="162"/>
      <c r="J7" s="162"/>
      <c r="K7" s="30"/>
      <c r="L7" s="159"/>
      <c r="M7" s="159"/>
      <c r="N7" s="159"/>
      <c r="O7" s="159"/>
      <c r="P7" s="159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</row>
    <row r="8" spans="1:48" s="33" customFormat="1" ht="12.75" x14ac:dyDescent="0.2">
      <c r="A8" s="76" t="s">
        <v>79</v>
      </c>
      <c r="B8" s="194"/>
      <c r="C8" s="191">
        <v>0</v>
      </c>
      <c r="D8" s="81">
        <f>1112</f>
        <v>1112</v>
      </c>
      <c r="E8" s="192"/>
      <c r="H8" s="179"/>
      <c r="I8" s="164"/>
      <c r="J8" s="164"/>
      <c r="K8" s="31"/>
      <c r="L8" s="159"/>
      <c r="M8" s="159"/>
      <c r="N8" s="159"/>
      <c r="O8" s="159"/>
      <c r="P8" s="159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</row>
    <row r="9" spans="1:48" s="33" customFormat="1" ht="13.5" customHeight="1" x14ac:dyDescent="0.2">
      <c r="A9" s="76" t="s">
        <v>80</v>
      </c>
      <c r="B9" s="193">
        <f>4*220.9+1767.2</f>
        <v>2650.8</v>
      </c>
      <c r="C9" s="191">
        <f>(4*147)</f>
        <v>588</v>
      </c>
      <c r="D9" s="81">
        <f>147+147+147+147+147+147+147+147</f>
        <v>1176</v>
      </c>
      <c r="E9" s="195"/>
      <c r="H9" s="179"/>
      <c r="I9" s="164"/>
      <c r="J9" s="164"/>
      <c r="K9" s="31"/>
      <c r="L9" s="159"/>
      <c r="M9" s="159"/>
      <c r="N9" s="159"/>
      <c r="O9" s="159"/>
      <c r="P9" s="159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</row>
    <row r="10" spans="1:48" x14ac:dyDescent="0.2">
      <c r="A10" s="73" t="s">
        <v>81</v>
      </c>
      <c r="B10" s="69">
        <f>B12</f>
        <v>11760</v>
      </c>
      <c r="C10" s="69">
        <f>C12+C11+C13</f>
        <v>15420</v>
      </c>
      <c r="D10" s="69">
        <f>D12+D11+D13</f>
        <v>8260</v>
      </c>
      <c r="E10" s="196"/>
      <c r="F10" s="9"/>
      <c r="G10" s="78" t="s">
        <v>82</v>
      </c>
      <c r="H10" s="179"/>
      <c r="I10" s="164"/>
      <c r="J10" s="164"/>
      <c r="K10" s="31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</row>
    <row r="11" spans="1:48" s="33" customFormat="1" ht="12.75" x14ac:dyDescent="0.2">
      <c r="A11" s="74" t="s">
        <v>83</v>
      </c>
      <c r="B11" s="75">
        <v>0</v>
      </c>
      <c r="C11" s="75">
        <v>5000</v>
      </c>
      <c r="D11" s="81">
        <v>0</v>
      </c>
      <c r="E11" s="195"/>
      <c r="H11" s="179"/>
      <c r="I11" s="164"/>
      <c r="J11" s="164"/>
      <c r="K11" s="31"/>
      <c r="L11" s="163"/>
      <c r="M11" s="159"/>
      <c r="N11" s="159"/>
      <c r="O11" s="159"/>
      <c r="P11" s="159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</row>
    <row r="12" spans="1:48" s="33" customFormat="1" ht="12.75" x14ac:dyDescent="0.2">
      <c r="A12" s="79" t="s">
        <v>84</v>
      </c>
      <c r="B12" s="197">
        <f>10*640+3*1120+2000</f>
        <v>11760</v>
      </c>
      <c r="C12" s="191">
        <f>(8*560)+(2*720)+2000</f>
        <v>7920</v>
      </c>
      <c r="D12" s="81">
        <f>720+720+720+720+720+720+720+720</f>
        <v>5760</v>
      </c>
      <c r="E12" s="192"/>
      <c r="H12" s="179"/>
      <c r="I12" s="164"/>
      <c r="J12" s="164"/>
      <c r="K12" s="31"/>
      <c r="L12" s="165"/>
      <c r="M12" s="159"/>
      <c r="N12" s="159"/>
      <c r="O12" s="159"/>
      <c r="P12" s="159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</row>
    <row r="13" spans="1:48" s="33" customFormat="1" ht="12.75" x14ac:dyDescent="0.2">
      <c r="A13" s="79" t="s">
        <v>85</v>
      </c>
      <c r="B13" s="197">
        <v>0</v>
      </c>
      <c r="C13" s="191">
        <v>2500</v>
      </c>
      <c r="D13" s="81">
        <v>2500</v>
      </c>
      <c r="E13" s="192"/>
      <c r="H13" s="179"/>
      <c r="I13" s="164"/>
      <c r="J13" s="164"/>
      <c r="K13" s="31"/>
      <c r="L13" s="163"/>
      <c r="M13" s="159"/>
      <c r="N13" s="159"/>
      <c r="O13" s="159"/>
      <c r="P13" s="159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</row>
    <row r="14" spans="1:48" ht="12.75" x14ac:dyDescent="0.2">
      <c r="A14" s="73" t="s">
        <v>86</v>
      </c>
      <c r="B14" s="69">
        <f>B15</f>
        <v>0</v>
      </c>
      <c r="C14" s="69">
        <f>C15</f>
        <v>0</v>
      </c>
      <c r="D14" s="69">
        <f>D15</f>
        <v>0</v>
      </c>
      <c r="E14" s="189"/>
      <c r="F14" s="9"/>
      <c r="G14" s="9"/>
      <c r="H14" s="179"/>
      <c r="I14" s="164"/>
      <c r="J14" s="164"/>
      <c r="K14" s="31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</row>
    <row r="15" spans="1:48" s="33" customFormat="1" ht="12.75" x14ac:dyDescent="0.2">
      <c r="A15" s="79" t="s">
        <v>87</v>
      </c>
      <c r="B15" s="191">
        <v>0</v>
      </c>
      <c r="C15" s="191">
        <v>0</v>
      </c>
      <c r="D15" s="191">
        <v>0</v>
      </c>
      <c r="E15" s="192"/>
      <c r="H15" s="179"/>
      <c r="I15" s="164"/>
      <c r="J15" s="164"/>
      <c r="K15" s="31"/>
      <c r="L15" s="159"/>
      <c r="M15" s="159"/>
      <c r="N15" s="159"/>
      <c r="O15" s="159"/>
      <c r="P15" s="159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</row>
    <row r="16" spans="1:48" ht="12.75" x14ac:dyDescent="0.2">
      <c r="A16" s="82" t="s">
        <v>88</v>
      </c>
      <c r="B16" s="69">
        <f>SUM(B17:B19)</f>
        <v>3000</v>
      </c>
      <c r="C16" s="69">
        <f>SUM(C17:C19)</f>
        <v>3316.68</v>
      </c>
      <c r="D16" s="69">
        <f>SUM(D17:D19)</f>
        <v>2116.6799999999998</v>
      </c>
      <c r="E16" s="189"/>
      <c r="F16" s="9"/>
      <c r="G16" s="9"/>
      <c r="H16" s="164"/>
      <c r="I16" s="164"/>
      <c r="J16" s="164"/>
      <c r="K16" s="31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</row>
    <row r="17" spans="1:48" s="33" customFormat="1" ht="12.75" x14ac:dyDescent="0.2">
      <c r="A17" s="79" t="s">
        <v>89</v>
      </c>
      <c r="B17" s="197">
        <f>4*500</f>
        <v>2000</v>
      </c>
      <c r="C17" s="191">
        <f>500+500+333.34+333.34</f>
        <v>1666.6799999999998</v>
      </c>
      <c r="D17" s="81">
        <f>333.34+333.34</f>
        <v>666.68</v>
      </c>
      <c r="E17" s="192"/>
      <c r="H17" s="164"/>
      <c r="I17" s="164"/>
      <c r="J17" s="164"/>
      <c r="K17" s="31"/>
      <c r="L17" s="166"/>
      <c r="M17" s="159"/>
      <c r="N17" s="159"/>
      <c r="O17" s="159"/>
      <c r="P17" s="159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</row>
    <row r="18" spans="1:48" s="33" customFormat="1" ht="12.75" x14ac:dyDescent="0.2">
      <c r="A18" s="79" t="s">
        <v>90</v>
      </c>
      <c r="B18" s="197">
        <v>0</v>
      </c>
      <c r="C18" s="191">
        <f>650</f>
        <v>650</v>
      </c>
      <c r="D18" s="81">
        <f>650</f>
        <v>650</v>
      </c>
      <c r="E18" s="192"/>
      <c r="H18" s="167"/>
      <c r="I18" s="167"/>
      <c r="J18" s="167"/>
      <c r="K18" s="36"/>
      <c r="L18" s="159"/>
      <c r="M18" s="159"/>
      <c r="N18" s="159"/>
      <c r="O18" s="159"/>
      <c r="P18" s="159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</row>
    <row r="19" spans="1:48" s="33" customFormat="1" ht="14.25" customHeight="1" x14ac:dyDescent="0.25">
      <c r="A19" s="79" t="s">
        <v>91</v>
      </c>
      <c r="B19" s="197">
        <f>1000</f>
        <v>1000</v>
      </c>
      <c r="C19" s="191">
        <v>1000</v>
      </c>
      <c r="D19" s="81">
        <f>800</f>
        <v>800</v>
      </c>
      <c r="E19" s="192"/>
      <c r="H19" s="168"/>
      <c r="I19" s="169"/>
      <c r="J19" s="169"/>
      <c r="K19" s="37"/>
      <c r="L19" s="159"/>
      <c r="M19" s="159"/>
      <c r="N19" s="159"/>
      <c r="O19" s="159"/>
      <c r="P19" s="159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</row>
    <row r="20" spans="1:48" s="33" customFormat="1" ht="12.75" x14ac:dyDescent="0.2">
      <c r="A20" s="79" t="s">
        <v>92</v>
      </c>
      <c r="B20" s="197">
        <v>0</v>
      </c>
      <c r="C20" s="191">
        <v>0</v>
      </c>
      <c r="D20" s="81">
        <v>0</v>
      </c>
      <c r="E20" s="192"/>
      <c r="H20" s="164"/>
      <c r="I20" s="164"/>
      <c r="J20" s="164"/>
      <c r="K20" s="31"/>
      <c r="L20" s="159"/>
      <c r="M20" s="159"/>
      <c r="N20" s="159"/>
      <c r="O20" s="159"/>
      <c r="P20" s="159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</row>
    <row r="21" spans="1:48" ht="12.75" x14ac:dyDescent="0.2">
      <c r="A21" s="73" t="s">
        <v>93</v>
      </c>
      <c r="B21" s="69">
        <f>SUM(B22:B24)</f>
        <v>33083.33</v>
      </c>
      <c r="C21" s="69">
        <f>SUM(C22:C24)</f>
        <v>12000.01</v>
      </c>
      <c r="D21" s="69">
        <f>SUM(D22:D24)</f>
        <v>4975</v>
      </c>
      <c r="E21" s="189"/>
      <c r="F21" s="9"/>
      <c r="G21" s="9"/>
      <c r="H21" s="164"/>
      <c r="I21" s="164"/>
      <c r="J21" s="164"/>
      <c r="K21" s="31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</row>
    <row r="22" spans="1:48" s="33" customFormat="1" ht="12.75" x14ac:dyDescent="0.2">
      <c r="A22" s="71" t="s">
        <v>94</v>
      </c>
      <c r="B22" s="99">
        <v>7000</v>
      </c>
      <c r="C22" s="191">
        <v>7000</v>
      </c>
      <c r="D22" s="81">
        <v>0</v>
      </c>
      <c r="E22" s="192"/>
      <c r="H22" s="164"/>
      <c r="I22" s="164"/>
      <c r="J22" s="164"/>
      <c r="K22" s="31"/>
      <c r="L22" s="159"/>
      <c r="M22" s="159"/>
      <c r="N22" s="159"/>
      <c r="O22" s="159"/>
      <c r="P22" s="159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</row>
    <row r="23" spans="1:48" s="33" customFormat="1" ht="12.75" x14ac:dyDescent="0.2">
      <c r="A23" s="71" t="s">
        <v>95</v>
      </c>
      <c r="B23" s="99">
        <f>1325+1958.33+2158.33+2891.67</f>
        <v>8333.33</v>
      </c>
      <c r="C23" s="191">
        <f>1891.67+1816.67+1291.67</f>
        <v>5000.01</v>
      </c>
      <c r="D23" s="81">
        <f>975</f>
        <v>975</v>
      </c>
      <c r="E23" s="192"/>
      <c r="H23" s="164"/>
      <c r="I23" s="164"/>
      <c r="J23" s="164"/>
      <c r="K23" s="31"/>
      <c r="L23" s="159"/>
      <c r="M23" s="159"/>
      <c r="N23" s="159"/>
      <c r="O23" s="159"/>
      <c r="P23" s="159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</row>
    <row r="24" spans="1:48" s="33" customFormat="1" ht="12.75" x14ac:dyDescent="0.2">
      <c r="A24" s="71" t="s">
        <v>96</v>
      </c>
      <c r="B24" s="99">
        <f>5000+5000+3500+4250</f>
        <v>17750</v>
      </c>
      <c r="C24" s="191">
        <v>0</v>
      </c>
      <c r="D24" s="81">
        <f>1000+3000</f>
        <v>4000</v>
      </c>
      <c r="E24" s="192"/>
      <c r="H24" s="164"/>
      <c r="I24" s="164"/>
      <c r="J24" s="164"/>
      <c r="K24" s="31"/>
      <c r="L24" s="159"/>
      <c r="M24" s="159"/>
      <c r="N24" s="159"/>
      <c r="O24" s="159"/>
      <c r="P24" s="159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</row>
    <row r="25" spans="1:48" s="85" customFormat="1" ht="12.75" x14ac:dyDescent="0.2">
      <c r="A25" s="83" t="s">
        <v>97</v>
      </c>
      <c r="B25" s="198">
        <f>102+80.34+66.8+268.27</f>
        <v>517.41</v>
      </c>
      <c r="C25" s="69">
        <v>0</v>
      </c>
      <c r="D25" s="101">
        <v>0</v>
      </c>
      <c r="E25" s="199"/>
      <c r="H25" s="167"/>
      <c r="I25" s="167"/>
      <c r="J25" s="167"/>
      <c r="K25" s="36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</row>
    <row r="26" spans="1:48" ht="12.75" x14ac:dyDescent="0.2">
      <c r="A26" s="73" t="s">
        <v>98</v>
      </c>
      <c r="B26" s="69">
        <v>0</v>
      </c>
      <c r="C26" s="69">
        <v>0</v>
      </c>
      <c r="D26" s="69">
        <v>0</v>
      </c>
      <c r="E26" s="189"/>
      <c r="F26" s="9"/>
      <c r="G26" s="9"/>
      <c r="H26" s="164"/>
      <c r="I26" s="164"/>
      <c r="J26" s="164"/>
      <c r="K26" s="31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</row>
    <row r="27" spans="1:48" s="33" customFormat="1" x14ac:dyDescent="0.25">
      <c r="A27" s="86" t="s">
        <v>99</v>
      </c>
      <c r="B27" s="200">
        <v>0</v>
      </c>
      <c r="C27" s="75">
        <v>0</v>
      </c>
      <c r="D27" s="72">
        <v>0</v>
      </c>
      <c r="E27" s="87"/>
      <c r="H27" s="164"/>
      <c r="I27" s="164"/>
      <c r="J27" s="164"/>
      <c r="K27" s="31"/>
      <c r="L27" s="159"/>
      <c r="M27" s="159"/>
      <c r="N27" s="159"/>
      <c r="O27" s="159"/>
      <c r="P27" s="159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</row>
    <row r="28" spans="1:48" ht="12.75" x14ac:dyDescent="0.2">
      <c r="A28" s="88" t="s">
        <v>100</v>
      </c>
      <c r="B28" s="92">
        <f>SUM(B2,B5,B10,B14,B16,B21,B25,B26)</f>
        <v>56894.510000000009</v>
      </c>
      <c r="C28" s="92">
        <f>SUM(C2,C5,C10,C14,C16,C21,C25,C26)</f>
        <v>37710.69</v>
      </c>
      <c r="D28" s="92">
        <f>SUM(D2,D5,D10,D14,D16,D21,D25,D26)</f>
        <v>20396.03</v>
      </c>
      <c r="E28" s="189"/>
      <c r="F28" s="9"/>
      <c r="G28" s="9"/>
      <c r="H28" s="164"/>
      <c r="I28" s="164"/>
      <c r="J28" s="164"/>
      <c r="K28" s="31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</row>
    <row r="29" spans="1:48" x14ac:dyDescent="0.25">
      <c r="A29" s="88" t="s">
        <v>101</v>
      </c>
      <c r="B29" s="92">
        <f>SUM(B31,B41,B67,B45,B60,B63,B74)</f>
        <v>31981.769999999997</v>
      </c>
      <c r="C29" s="92">
        <f>SUM(C31,C41,C45,C60,C63,C67,C73,C74)</f>
        <v>65799.459999999992</v>
      </c>
      <c r="D29" s="92">
        <f>SUM(D31,D41,D45,D60,D63,D67,D73,D74)</f>
        <v>26112.819999999996</v>
      </c>
      <c r="E29" s="91"/>
      <c r="F29" s="9"/>
      <c r="G29" s="9"/>
      <c r="H29" s="164"/>
      <c r="I29" s="164"/>
      <c r="J29" s="164"/>
      <c r="K29" s="31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</row>
    <row r="30" spans="1:48" s="91" customFormat="1" ht="17.45" customHeight="1" x14ac:dyDescent="0.25">
      <c r="A30" s="93" t="s">
        <v>102</v>
      </c>
      <c r="B30" s="201"/>
      <c r="C30" s="202"/>
      <c r="D30" s="84"/>
      <c r="E30" s="189"/>
      <c r="H30" s="164"/>
      <c r="I30" s="164"/>
      <c r="J30" s="164"/>
      <c r="K30" s="31"/>
      <c r="L30" s="159"/>
      <c r="M30" s="159"/>
      <c r="N30" s="159"/>
      <c r="O30" s="159"/>
      <c r="P30" s="159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</row>
    <row r="31" spans="1:48" ht="12.75" x14ac:dyDescent="0.2">
      <c r="A31" s="73" t="s">
        <v>103</v>
      </c>
      <c r="B31" s="69">
        <f>SUM(B32:B40)</f>
        <v>17901.879999999997</v>
      </c>
      <c r="C31" s="69">
        <f>SUM(C32:C40)</f>
        <v>20541.259999999998</v>
      </c>
      <c r="D31" s="84">
        <f>SUM(D32:D40)</f>
        <v>9180.380000000001</v>
      </c>
      <c r="E31" s="189"/>
      <c r="F31" s="9"/>
      <c r="G31" s="9"/>
      <c r="H31" s="167"/>
      <c r="I31" s="172"/>
      <c r="J31" s="172"/>
      <c r="K31" s="94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</row>
    <row r="32" spans="1:48" x14ac:dyDescent="0.25">
      <c r="A32" s="74" t="s">
        <v>104</v>
      </c>
      <c r="B32" s="203">
        <f>1282.47+466.82+229+268.27</f>
        <v>2246.56</v>
      </c>
      <c r="C32" s="75">
        <f>139+74.16+24.37+45.83+1262+84+75+30+550+240+213.37+2494.74+614.23+120+150+1100.98</f>
        <v>7217.6799999999985</v>
      </c>
      <c r="D32" s="72">
        <f>1714.73</f>
        <v>1714.73</v>
      </c>
      <c r="E32" s="189"/>
      <c r="F32" s="9"/>
      <c r="G32" s="91"/>
      <c r="H32" s="161"/>
      <c r="I32" s="161"/>
      <c r="J32" s="161"/>
      <c r="K32" s="173"/>
      <c r="L32" s="161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</row>
    <row r="33" spans="1:48" ht="12.75" x14ac:dyDescent="0.2">
      <c r="A33" s="74" t="s">
        <v>105</v>
      </c>
      <c r="B33" s="75">
        <v>0</v>
      </c>
      <c r="C33" s="75">
        <v>0</v>
      </c>
      <c r="D33" s="75">
        <v>0</v>
      </c>
      <c r="E33" s="189"/>
      <c r="F33" s="9"/>
      <c r="G33" s="9"/>
      <c r="H33" s="159"/>
      <c r="I33" s="159"/>
      <c r="J33" s="159"/>
      <c r="K33" s="160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</row>
    <row r="34" spans="1:48" ht="12.75" x14ac:dyDescent="0.2">
      <c r="A34" s="74" t="s">
        <v>106</v>
      </c>
      <c r="B34" s="75">
        <v>0</v>
      </c>
      <c r="C34" s="191">
        <v>0</v>
      </c>
      <c r="D34" s="72">
        <f>1000.65</f>
        <v>1000.65</v>
      </c>
      <c r="E34" s="192"/>
      <c r="F34" s="33"/>
      <c r="G34" s="33"/>
      <c r="H34" s="159"/>
      <c r="I34" s="159"/>
      <c r="J34" s="159"/>
      <c r="K34" s="160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</row>
    <row r="35" spans="1:48" ht="12.75" x14ac:dyDescent="0.2">
      <c r="A35" s="74" t="s">
        <v>47</v>
      </c>
      <c r="B35" s="75">
        <v>0</v>
      </c>
      <c r="C35" s="191">
        <v>2000</v>
      </c>
      <c r="D35" s="72">
        <v>2800</v>
      </c>
      <c r="E35" s="192"/>
      <c r="F35" s="33"/>
      <c r="G35" s="33"/>
      <c r="H35" s="159"/>
      <c r="I35" s="159"/>
      <c r="J35" s="159"/>
      <c r="K35" s="160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</row>
    <row r="36" spans="1:48" ht="12.75" x14ac:dyDescent="0.2">
      <c r="A36" s="74" t="s">
        <v>107</v>
      </c>
      <c r="B36" s="203">
        <f>67.26+60.48+282.42+4200</f>
        <v>4610.16</v>
      </c>
      <c r="C36" s="191">
        <f>1700+400+800+100+100+100+100+100+236.4+126.12+77.1+39.28</f>
        <v>3878.9</v>
      </c>
      <c r="D36" s="72">
        <v>3000</v>
      </c>
      <c r="E36" s="189"/>
      <c r="F36" s="33"/>
      <c r="G36" s="33"/>
      <c r="H36" s="159"/>
      <c r="I36" s="159"/>
      <c r="J36" s="159"/>
      <c r="K36" s="160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</row>
    <row r="37" spans="1:48" ht="12.75" x14ac:dyDescent="0.2">
      <c r="A37" s="74" t="s">
        <v>108</v>
      </c>
      <c r="B37" s="203">
        <v>0</v>
      </c>
      <c r="C37" s="191">
        <v>0</v>
      </c>
      <c r="D37" s="75">
        <v>0</v>
      </c>
      <c r="E37" s="192"/>
      <c r="F37" s="33"/>
      <c r="G37" s="33"/>
      <c r="H37" s="159"/>
      <c r="I37" s="159"/>
      <c r="J37" s="159"/>
      <c r="K37" s="160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</row>
    <row r="38" spans="1:48" ht="12.75" x14ac:dyDescent="0.2">
      <c r="A38" s="74" t="s">
        <v>109</v>
      </c>
      <c r="B38" s="203">
        <f>816+300+2326+66.96+54.27+26.49+229+268.27+2326</f>
        <v>6412.99</v>
      </c>
      <c r="C38" s="191">
        <f>200+200+2178+63.3+63.3+1000</f>
        <v>3704.6000000000004</v>
      </c>
      <c r="D38" s="75">
        <v>0</v>
      </c>
      <c r="E38" s="192"/>
      <c r="F38" s="33"/>
      <c r="G38" s="33"/>
      <c r="H38" s="159"/>
      <c r="I38" s="159"/>
      <c r="J38" s="159"/>
      <c r="K38" s="160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</row>
    <row r="39" spans="1:48" ht="12.75" x14ac:dyDescent="0.2">
      <c r="A39" s="74" t="s">
        <v>94</v>
      </c>
      <c r="B39" s="203">
        <f>200+380+184.68+171.2+275.02+160+400+192+24.79+511+137.62+80.73+54.27+26.49+112.7+219</f>
        <v>3129.4999999999995</v>
      </c>
      <c r="C39" s="191">
        <f>62+106+166.67+166.67+200+341.23+28.13+228+166.67+63.75+68.75+273.39+191.25+228.25+12.4+127.5+14+500+500</f>
        <v>3444.6600000000003</v>
      </c>
      <c r="D39" s="81">
        <f>230+200</f>
        <v>430</v>
      </c>
      <c r="E39" s="192"/>
      <c r="F39" s="33"/>
      <c r="G39" s="33"/>
      <c r="H39" s="159"/>
      <c r="I39" s="159"/>
      <c r="J39" s="159"/>
      <c r="K39" s="160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</row>
    <row r="40" spans="1:48" ht="12.75" x14ac:dyDescent="0.2">
      <c r="A40" s="74" t="s">
        <v>110</v>
      </c>
      <c r="B40" s="203">
        <f>1000+241+161.67+100</f>
        <v>1502.67</v>
      </c>
      <c r="C40" s="191">
        <f>50+24+21.42+200</f>
        <v>295.42</v>
      </c>
      <c r="D40" s="81">
        <f>235</f>
        <v>235</v>
      </c>
      <c r="E40" s="189"/>
      <c r="F40" s="9"/>
      <c r="G40" s="9"/>
      <c r="H40" s="159"/>
      <c r="I40" s="159"/>
      <c r="J40" s="159"/>
      <c r="K40" s="160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</row>
    <row r="41" spans="1:48" ht="12.75" x14ac:dyDescent="0.2">
      <c r="A41" s="73" t="s">
        <v>111</v>
      </c>
      <c r="B41" s="69">
        <f>SUM(B42:B44)</f>
        <v>0</v>
      </c>
      <c r="C41" s="69">
        <f>SUM(C42:C44)</f>
        <v>4136</v>
      </c>
      <c r="D41" s="69">
        <f>SUM(D42:D44)</f>
        <v>0</v>
      </c>
      <c r="E41" s="189"/>
      <c r="F41" s="9"/>
      <c r="G41" s="9"/>
      <c r="H41" s="159"/>
      <c r="I41" s="159"/>
      <c r="J41" s="159"/>
      <c r="K41" s="160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</row>
    <row r="42" spans="1:48" s="33" customFormat="1" ht="12.75" x14ac:dyDescent="0.2">
      <c r="A42" s="71" t="s">
        <v>112</v>
      </c>
      <c r="B42" s="75">
        <v>0</v>
      </c>
      <c r="C42" s="191">
        <v>0</v>
      </c>
      <c r="D42" s="75">
        <v>0</v>
      </c>
      <c r="E42" s="192"/>
      <c r="H42" s="163"/>
      <c r="I42" s="163"/>
      <c r="J42" s="163"/>
      <c r="K42" s="174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</row>
    <row r="43" spans="1:48" s="33" customFormat="1" ht="12.75" x14ac:dyDescent="0.2">
      <c r="A43" s="71" t="s">
        <v>113</v>
      </c>
      <c r="B43" s="75">
        <v>0</v>
      </c>
      <c r="C43" s="191">
        <v>0</v>
      </c>
      <c r="D43" s="75">
        <v>0</v>
      </c>
      <c r="E43" s="192"/>
      <c r="H43" s="163"/>
      <c r="I43" s="163"/>
      <c r="J43" s="163"/>
      <c r="K43" s="174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</row>
    <row r="44" spans="1:48" s="33" customFormat="1" ht="12.75" x14ac:dyDescent="0.2">
      <c r="A44" s="71" t="s">
        <v>114</v>
      </c>
      <c r="B44" s="75">
        <v>0</v>
      </c>
      <c r="C44" s="191">
        <f>1189+7920.83-398-1095-2646-850+129.17-114</f>
        <v>4136</v>
      </c>
      <c r="D44" s="72">
        <v>0</v>
      </c>
      <c r="E44" s="192"/>
      <c r="H44" s="163"/>
      <c r="I44" s="163"/>
      <c r="J44" s="163"/>
      <c r="K44" s="174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</row>
    <row r="45" spans="1:48" x14ac:dyDescent="0.25">
      <c r="A45" s="73" t="s">
        <v>115</v>
      </c>
      <c r="B45" s="69">
        <f>SUM(B46:B59)</f>
        <v>6110</v>
      </c>
      <c r="C45" s="69">
        <f>SUM(C46:C59)</f>
        <v>28162.75</v>
      </c>
      <c r="D45" s="84">
        <f>SUM(D46:D59)</f>
        <v>13999.539999999999</v>
      </c>
      <c r="E45" s="189"/>
      <c r="F45" s="9"/>
      <c r="G45" s="9"/>
      <c r="H45" s="159"/>
      <c r="I45" s="159"/>
      <c r="J45" s="159"/>
      <c r="K45" s="160"/>
      <c r="L45" s="159"/>
      <c r="M45" s="159"/>
      <c r="N45" s="161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</row>
    <row r="46" spans="1:48" s="33" customFormat="1" x14ac:dyDescent="0.25">
      <c r="A46" s="71" t="s">
        <v>116</v>
      </c>
      <c r="B46" s="190">
        <f>1000+700+1000</f>
        <v>2700</v>
      </c>
      <c r="C46" s="191">
        <f>5000+700+96.25+39.5+295</f>
        <v>6130.75</v>
      </c>
      <c r="D46" s="96">
        <f>983+800+67.5+104.13+189</f>
        <v>2143.63</v>
      </c>
      <c r="E46" s="192"/>
      <c r="H46" s="163"/>
      <c r="I46" s="163"/>
      <c r="J46" s="163"/>
      <c r="K46" s="174"/>
      <c r="L46" s="163"/>
      <c r="M46" s="163"/>
      <c r="N46" s="175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</row>
    <row r="47" spans="1:48" s="33" customFormat="1" x14ac:dyDescent="0.25">
      <c r="A47" s="71" t="s">
        <v>117</v>
      </c>
      <c r="B47" s="190">
        <f>1310+1100+1000</f>
        <v>3410</v>
      </c>
      <c r="C47" s="191">
        <f>1000+1300+1500+843</f>
        <v>4643</v>
      </c>
      <c r="D47" s="96">
        <f>1615+602+2811+72.58</f>
        <v>5100.58</v>
      </c>
      <c r="E47" s="192"/>
      <c r="H47" s="163"/>
      <c r="I47" s="163"/>
      <c r="J47" s="163"/>
      <c r="K47" s="174"/>
      <c r="L47" s="163"/>
      <c r="M47" s="163"/>
      <c r="N47" s="175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</row>
    <row r="48" spans="1:48" s="33" customFormat="1" x14ac:dyDescent="0.25">
      <c r="A48" s="71" t="s">
        <v>118</v>
      </c>
      <c r="B48" s="190">
        <v>0</v>
      </c>
      <c r="C48" s="191">
        <f>1000+2960+2960+1500+3000-1000</f>
        <v>10420</v>
      </c>
      <c r="D48" s="96">
        <f>1830+1500+1000+1000+229</f>
        <v>5559</v>
      </c>
      <c r="E48" s="192"/>
      <c r="H48" s="163"/>
      <c r="I48" s="163"/>
      <c r="J48" s="163"/>
      <c r="K48" s="174"/>
      <c r="L48" s="163"/>
      <c r="M48" s="163"/>
      <c r="N48" s="175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</row>
    <row r="49" spans="1:48" s="33" customFormat="1" x14ac:dyDescent="0.25">
      <c r="A49" s="71" t="s">
        <v>119</v>
      </c>
      <c r="B49" s="190">
        <v>0</v>
      </c>
      <c r="C49" s="191">
        <f>1000+1500</f>
        <v>2500</v>
      </c>
      <c r="D49" s="96">
        <v>0</v>
      </c>
      <c r="E49" s="192"/>
      <c r="H49" s="163"/>
      <c r="I49" s="163"/>
      <c r="J49" s="163"/>
      <c r="K49" s="174"/>
      <c r="L49" s="163"/>
      <c r="M49" s="163"/>
      <c r="N49" s="175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</row>
    <row r="50" spans="1:48" s="33" customFormat="1" x14ac:dyDescent="0.25">
      <c r="A50" s="71" t="s">
        <v>120</v>
      </c>
      <c r="B50" s="190">
        <v>0</v>
      </c>
      <c r="C50" s="191">
        <v>1000</v>
      </c>
      <c r="D50" s="190">
        <v>0</v>
      </c>
      <c r="E50" s="192"/>
      <c r="H50" s="163"/>
      <c r="I50" s="163"/>
      <c r="J50" s="163"/>
      <c r="K50" s="174"/>
      <c r="L50" s="163"/>
      <c r="M50" s="163"/>
      <c r="N50" s="175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</row>
    <row r="51" spans="1:48" s="33" customFormat="1" x14ac:dyDescent="0.25">
      <c r="A51" s="71" t="s">
        <v>121</v>
      </c>
      <c r="B51" s="190">
        <v>0</v>
      </c>
      <c r="C51" s="191">
        <f>1000+344</f>
        <v>1344</v>
      </c>
      <c r="D51" s="96">
        <f>333</f>
        <v>333</v>
      </c>
      <c r="E51" s="192"/>
      <c r="H51" s="163"/>
      <c r="I51" s="163"/>
      <c r="J51" s="163"/>
      <c r="K51" s="174"/>
      <c r="L51" s="163"/>
      <c r="M51" s="163"/>
      <c r="N51" s="175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</row>
    <row r="52" spans="1:48" s="33" customFormat="1" x14ac:dyDescent="0.25">
      <c r="A52" s="71" t="s">
        <v>122</v>
      </c>
      <c r="B52" s="190">
        <v>0</v>
      </c>
      <c r="C52" s="191">
        <f>295</f>
        <v>295</v>
      </c>
      <c r="D52" s="96">
        <f>128.33</f>
        <v>128.33000000000001</v>
      </c>
      <c r="E52" s="192"/>
      <c r="H52" s="163"/>
      <c r="I52" s="163"/>
      <c r="J52" s="163"/>
      <c r="K52" s="174"/>
      <c r="L52" s="163"/>
      <c r="M52" s="163"/>
      <c r="N52" s="175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</row>
    <row r="53" spans="1:48" s="33" customFormat="1" x14ac:dyDescent="0.25">
      <c r="A53" s="71" t="s">
        <v>123</v>
      </c>
      <c r="B53" s="190">
        <v>0</v>
      </c>
      <c r="C53" s="191">
        <f>650+295</f>
        <v>945</v>
      </c>
      <c r="D53" s="96">
        <f t="shared" ref="D53:D55" si="0">128.33</f>
        <v>128.33000000000001</v>
      </c>
      <c r="E53" s="192"/>
      <c r="H53" s="163"/>
      <c r="I53" s="163"/>
      <c r="J53" s="163"/>
      <c r="K53" s="174"/>
      <c r="L53" s="163"/>
      <c r="M53" s="163"/>
      <c r="N53" s="175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</row>
    <row r="54" spans="1:48" s="33" customFormat="1" x14ac:dyDescent="0.25">
      <c r="A54" s="71" t="s">
        <v>124</v>
      </c>
      <c r="B54" s="190">
        <v>0</v>
      </c>
      <c r="C54" s="191">
        <f>295</f>
        <v>295</v>
      </c>
      <c r="D54" s="96">
        <f t="shared" si="0"/>
        <v>128.33000000000001</v>
      </c>
      <c r="E54" s="192"/>
      <c r="H54" s="163"/>
      <c r="I54" s="163"/>
      <c r="J54" s="163"/>
      <c r="K54" s="174"/>
      <c r="L54" s="163"/>
      <c r="M54" s="163"/>
      <c r="N54" s="175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</row>
    <row r="55" spans="1:48" s="33" customFormat="1" x14ac:dyDescent="0.25">
      <c r="A55" s="71" t="s">
        <v>125</v>
      </c>
      <c r="B55" s="190">
        <v>0</v>
      </c>
      <c r="C55" s="191">
        <f>295</f>
        <v>295</v>
      </c>
      <c r="D55" s="96">
        <f t="shared" si="0"/>
        <v>128.33000000000001</v>
      </c>
      <c r="E55" s="192"/>
      <c r="H55" s="163"/>
      <c r="I55" s="163"/>
      <c r="J55" s="163"/>
      <c r="K55" s="174"/>
      <c r="L55" s="163"/>
      <c r="M55" s="163"/>
      <c r="N55" s="175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</row>
    <row r="56" spans="1:48" s="33" customFormat="1" x14ac:dyDescent="0.25">
      <c r="A56" s="71" t="s">
        <v>126</v>
      </c>
      <c r="B56" s="190">
        <v>0</v>
      </c>
      <c r="C56" s="191">
        <f>295</f>
        <v>295</v>
      </c>
      <c r="D56" s="96">
        <v>0</v>
      </c>
      <c r="E56" s="192"/>
      <c r="H56" s="163"/>
      <c r="I56" s="163"/>
      <c r="J56" s="163"/>
      <c r="K56" s="174"/>
      <c r="L56" s="163"/>
      <c r="M56" s="163"/>
      <c r="N56" s="175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</row>
    <row r="57" spans="1:48" s="33" customFormat="1" x14ac:dyDescent="0.25">
      <c r="A57" s="71" t="s">
        <v>127</v>
      </c>
      <c r="B57" s="190">
        <v>0</v>
      </c>
      <c r="C57" s="190">
        <v>0</v>
      </c>
      <c r="D57" s="96">
        <f>128.33</f>
        <v>128.33000000000001</v>
      </c>
      <c r="E57" s="192"/>
      <c r="H57" s="163"/>
      <c r="I57" s="163"/>
      <c r="J57" s="163"/>
      <c r="K57" s="174"/>
      <c r="L57" s="163"/>
      <c r="M57" s="163"/>
      <c r="N57" s="175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</row>
    <row r="58" spans="1:48" s="33" customFormat="1" x14ac:dyDescent="0.25">
      <c r="A58" s="71" t="s">
        <v>128</v>
      </c>
      <c r="B58" s="190">
        <v>0</v>
      </c>
      <c r="C58" s="190">
        <v>0</v>
      </c>
      <c r="D58" s="96">
        <f>110.84</f>
        <v>110.84</v>
      </c>
      <c r="E58" s="192"/>
      <c r="H58" s="163"/>
      <c r="I58" s="163"/>
      <c r="J58" s="163"/>
      <c r="K58" s="174"/>
      <c r="L58" s="163"/>
      <c r="M58" s="163"/>
      <c r="N58" s="175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</row>
    <row r="59" spans="1:48" s="33" customFormat="1" x14ac:dyDescent="0.25">
      <c r="A59" s="71" t="s">
        <v>129</v>
      </c>
      <c r="B59" s="190">
        <v>0</v>
      </c>
      <c r="C59" s="190">
        <v>0</v>
      </c>
      <c r="D59" s="96">
        <f>110.84</f>
        <v>110.84</v>
      </c>
      <c r="E59" s="192"/>
      <c r="H59" s="163"/>
      <c r="I59" s="163"/>
      <c r="J59" s="163"/>
      <c r="K59" s="174"/>
      <c r="L59" s="163"/>
      <c r="M59" s="163"/>
      <c r="N59" s="175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</row>
    <row r="60" spans="1:48" x14ac:dyDescent="0.25">
      <c r="A60" s="97" t="s">
        <v>130</v>
      </c>
      <c r="B60" s="69">
        <f>SUM(B61:B62)</f>
        <v>1809.66</v>
      </c>
      <c r="C60" s="69">
        <f>SUM(C61:C62)</f>
        <v>830.29</v>
      </c>
      <c r="D60" s="69">
        <f>SUM(D61:D62)</f>
        <v>49</v>
      </c>
      <c r="E60" s="189"/>
      <c r="F60" s="9"/>
      <c r="G60" s="9"/>
      <c r="H60" s="159"/>
      <c r="I60" s="159"/>
      <c r="J60" s="159"/>
      <c r="K60" s="160"/>
      <c r="L60" s="159"/>
      <c r="M60" s="159"/>
      <c r="N60" s="161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</row>
    <row r="61" spans="1:48" s="33" customFormat="1" x14ac:dyDescent="0.25">
      <c r="A61" s="71" t="s">
        <v>131</v>
      </c>
      <c r="B61" s="190">
        <f>500+150+881</f>
        <v>1531</v>
      </c>
      <c r="C61" s="191">
        <f>5.5+300+295+96+35</f>
        <v>731.5</v>
      </c>
      <c r="D61" s="81">
        <f>32.5</f>
        <v>32.5</v>
      </c>
      <c r="E61" s="192"/>
      <c r="H61" s="163"/>
      <c r="I61" s="163"/>
      <c r="J61" s="163"/>
      <c r="K61" s="174"/>
      <c r="L61" s="163"/>
      <c r="M61" s="163"/>
      <c r="N61" s="175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</row>
    <row r="62" spans="1:48" s="33" customFormat="1" ht="12.75" x14ac:dyDescent="0.2">
      <c r="A62" s="71" t="s">
        <v>132</v>
      </c>
      <c r="B62" s="190">
        <f>174+14.08+5.5+5.5+6.5+73.08</f>
        <v>278.66000000000003</v>
      </c>
      <c r="C62" s="191">
        <f>5.08+6.6+5.5+10+33.28+38.33</f>
        <v>98.789999999999992</v>
      </c>
      <c r="D62" s="96">
        <f>5.5+5.5+5.5</f>
        <v>16.5</v>
      </c>
      <c r="E62" s="192"/>
      <c r="H62" s="163"/>
      <c r="I62" s="163"/>
      <c r="J62" s="163"/>
      <c r="K62" s="174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</row>
    <row r="63" spans="1:48" ht="12.75" x14ac:dyDescent="0.2">
      <c r="A63" s="97" t="s">
        <v>133</v>
      </c>
      <c r="B63" s="69">
        <f>B64+B65+B66</f>
        <v>5732.22</v>
      </c>
      <c r="C63" s="69">
        <f>C64+C65+C66</f>
        <v>10270.16</v>
      </c>
      <c r="D63" s="69">
        <f>D64+D65+D66</f>
        <v>1143.8</v>
      </c>
      <c r="E63" s="189"/>
      <c r="F63" s="9"/>
      <c r="G63" s="9"/>
      <c r="H63" s="159"/>
      <c r="I63" s="159"/>
      <c r="J63" s="159"/>
      <c r="K63" s="160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</row>
    <row r="64" spans="1:48" s="33" customFormat="1" ht="12.75" x14ac:dyDescent="0.2">
      <c r="A64" s="71" t="s">
        <v>52</v>
      </c>
      <c r="B64" s="190">
        <f>1759+2942+200+124.8+172+35</f>
        <v>5232.8</v>
      </c>
      <c r="C64" s="191">
        <f>1187+972.5+126+628+43+15+50</f>
        <v>3021.5</v>
      </c>
      <c r="D64" s="81">
        <f>1732-851+403-300+159.8</f>
        <v>1143.8</v>
      </c>
      <c r="E64" s="192"/>
      <c r="H64" s="163"/>
      <c r="I64" s="163"/>
      <c r="J64" s="163"/>
      <c r="K64" s="174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</row>
    <row r="65" spans="1:48" s="33" customFormat="1" ht="12.75" x14ac:dyDescent="0.2">
      <c r="A65" s="71" t="s">
        <v>134</v>
      </c>
      <c r="B65" s="190">
        <f>337.82</f>
        <v>337.82</v>
      </c>
      <c r="C65" s="191">
        <f>945+159</f>
        <v>1104</v>
      </c>
      <c r="D65" s="96">
        <v>0</v>
      </c>
      <c r="E65" s="192"/>
      <c r="H65" s="163"/>
      <c r="I65" s="163"/>
      <c r="J65" s="163"/>
      <c r="K65" s="174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</row>
    <row r="66" spans="1:48" s="33" customFormat="1" ht="12.75" x14ac:dyDescent="0.2">
      <c r="A66" s="71" t="s">
        <v>135</v>
      </c>
      <c r="B66" s="190">
        <f>161.6</f>
        <v>161.6</v>
      </c>
      <c r="C66" s="191">
        <f>(2923.65+5035.99-430.45-778.53)+359-965</f>
        <v>6144.66</v>
      </c>
      <c r="D66" s="96">
        <v>0</v>
      </c>
      <c r="E66" s="192"/>
      <c r="H66" s="163"/>
      <c r="I66" s="163"/>
      <c r="J66" s="163"/>
      <c r="K66" s="174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</row>
    <row r="67" spans="1:48" ht="12.75" x14ac:dyDescent="0.2">
      <c r="A67" s="97" t="s">
        <v>136</v>
      </c>
      <c r="B67" s="69">
        <f>SUM(B68:B72)</f>
        <v>400</v>
      </c>
      <c r="C67" s="69">
        <f>SUM(C68:C72)</f>
        <v>88.13</v>
      </c>
      <c r="D67" s="69">
        <f>SUM(D68:D72)</f>
        <v>0</v>
      </c>
      <c r="E67" s="189"/>
      <c r="F67" s="9"/>
      <c r="G67" s="9"/>
      <c r="H67" s="159"/>
      <c r="I67" s="159"/>
      <c r="J67" s="159"/>
      <c r="K67" s="160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  <c r="AU67" s="159"/>
      <c r="AV67" s="159"/>
    </row>
    <row r="68" spans="1:48" s="33" customFormat="1" ht="12.75" x14ac:dyDescent="0.2">
      <c r="A68" s="100" t="s">
        <v>54</v>
      </c>
      <c r="B68" s="190">
        <v>0</v>
      </c>
      <c r="C68" s="191">
        <v>60</v>
      </c>
      <c r="D68" s="96">
        <v>0</v>
      </c>
      <c r="E68" s="192"/>
      <c r="H68" s="163"/>
      <c r="I68" s="163"/>
      <c r="J68" s="163"/>
      <c r="K68" s="174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</row>
    <row r="69" spans="1:48" s="33" customFormat="1" ht="12.75" x14ac:dyDescent="0.2">
      <c r="A69" s="71" t="s">
        <v>137</v>
      </c>
      <c r="B69" s="190">
        <v>0</v>
      </c>
      <c r="C69" s="191">
        <v>0</v>
      </c>
      <c r="D69" s="96">
        <v>0</v>
      </c>
      <c r="E69" s="192"/>
      <c r="H69" s="163"/>
      <c r="I69" s="163"/>
      <c r="J69" s="163"/>
      <c r="K69" s="174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</row>
    <row r="70" spans="1:48" s="33" customFormat="1" ht="12.75" x14ac:dyDescent="0.2">
      <c r="A70" s="71" t="s">
        <v>138</v>
      </c>
      <c r="B70" s="190">
        <v>0</v>
      </c>
      <c r="C70" s="191">
        <v>0</v>
      </c>
      <c r="D70" s="96">
        <v>0</v>
      </c>
      <c r="E70" s="192"/>
      <c r="H70" s="163"/>
      <c r="I70" s="163"/>
      <c r="J70" s="163"/>
      <c r="K70" s="174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</row>
    <row r="71" spans="1:48" s="33" customFormat="1" ht="12.75" x14ac:dyDescent="0.2">
      <c r="A71" s="71" t="s">
        <v>56</v>
      </c>
      <c r="B71" s="190">
        <v>0</v>
      </c>
      <c r="C71" s="96">
        <v>0</v>
      </c>
      <c r="D71" s="96">
        <v>0</v>
      </c>
      <c r="E71" s="192"/>
      <c r="H71" s="163"/>
      <c r="I71" s="163"/>
      <c r="J71" s="163"/>
      <c r="K71" s="174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</row>
    <row r="72" spans="1:48" s="33" customFormat="1" ht="12.75" x14ac:dyDescent="0.2">
      <c r="A72" s="71" t="s">
        <v>139</v>
      </c>
      <c r="B72" s="190">
        <f>400</f>
        <v>400</v>
      </c>
      <c r="C72" s="191">
        <f>28.13</f>
        <v>28.13</v>
      </c>
      <c r="D72" s="96">
        <v>0</v>
      </c>
      <c r="E72" s="192"/>
      <c r="H72" s="163"/>
      <c r="I72" s="163"/>
      <c r="J72" s="163"/>
      <c r="K72" s="174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</row>
    <row r="73" spans="1:48" ht="12.75" x14ac:dyDescent="0.2">
      <c r="A73" s="73" t="s">
        <v>140</v>
      </c>
      <c r="B73" s="204">
        <v>0</v>
      </c>
      <c r="C73" s="69">
        <f>4*420</f>
        <v>1680</v>
      </c>
      <c r="D73" s="69">
        <f>4*420</f>
        <v>1680</v>
      </c>
      <c r="E73" s="189"/>
      <c r="F73" s="9"/>
      <c r="G73" s="9"/>
      <c r="H73" s="159"/>
      <c r="I73" s="159"/>
      <c r="J73" s="159"/>
      <c r="K73" s="160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</row>
    <row r="74" spans="1:48" ht="12.75" x14ac:dyDescent="0.2">
      <c r="A74" s="73" t="s">
        <v>141</v>
      </c>
      <c r="B74" s="205">
        <f>28.01</f>
        <v>28.01</v>
      </c>
      <c r="C74" s="69">
        <f>24.34+66.53</f>
        <v>90.87</v>
      </c>
      <c r="D74" s="69">
        <v>60.1</v>
      </c>
      <c r="E74" s="189"/>
      <c r="F74" s="9"/>
      <c r="G74" s="9"/>
      <c r="H74" s="9"/>
      <c r="I74" s="9"/>
      <c r="J74" s="9"/>
      <c r="K74" s="28"/>
      <c r="R74" s="9"/>
    </row>
    <row r="75" spans="1:48" ht="12.75" x14ac:dyDescent="0.2">
      <c r="H75" s="80"/>
      <c r="I75" s="98"/>
      <c r="J75" s="102"/>
    </row>
    <row r="76" spans="1:48" ht="15.75" x14ac:dyDescent="0.25">
      <c r="A76" s="211" t="s">
        <v>142</v>
      </c>
      <c r="B76" s="211" t="s">
        <v>143</v>
      </c>
      <c r="C76" s="211" t="s">
        <v>144</v>
      </c>
      <c r="D76" s="211" t="s">
        <v>145</v>
      </c>
      <c r="E76" s="212"/>
      <c r="G76" s="103"/>
      <c r="H76" s="103"/>
      <c r="I76" s="104"/>
      <c r="J76" s="104"/>
      <c r="M76" s="35"/>
    </row>
    <row r="77" spans="1:48" s="109" customFormat="1" ht="31.5" x14ac:dyDescent="0.25">
      <c r="A77" s="213"/>
      <c r="B77" s="213" t="s">
        <v>146</v>
      </c>
      <c r="C77" s="213" t="s">
        <v>146</v>
      </c>
      <c r="D77" s="213" t="s">
        <v>146</v>
      </c>
      <c r="E77" s="214" t="s">
        <v>147</v>
      </c>
      <c r="F77" s="105"/>
      <c r="G77" s="106"/>
      <c r="H77" s="107"/>
      <c r="I77" s="107"/>
      <c r="J77" s="108"/>
      <c r="K77" s="105"/>
      <c r="M77" s="110"/>
      <c r="R77" s="111"/>
    </row>
    <row r="78" spans="1:48" ht="15.75" x14ac:dyDescent="0.25">
      <c r="A78" s="206" t="s">
        <v>148</v>
      </c>
      <c r="B78" s="215">
        <f>1000+300+750</f>
        <v>2050</v>
      </c>
      <c r="C78" s="215">
        <f>5000+700+96.25+39.5+295</f>
        <v>6130.75</v>
      </c>
      <c r="D78" s="215">
        <f>983+800+67.56+104.13+189</f>
        <v>2143.69</v>
      </c>
      <c r="E78" s="216">
        <f t="shared" ref="E78:E93" si="1">SUM(B78:D78)</f>
        <v>10324.44</v>
      </c>
      <c r="G78" s="9"/>
      <c r="H78" s="113"/>
      <c r="I78" s="114"/>
      <c r="J78" s="115"/>
      <c r="K78" s="116"/>
      <c r="M78" s="35"/>
    </row>
    <row r="79" spans="1:48" ht="15.75" x14ac:dyDescent="0.25">
      <c r="A79" s="206" t="s">
        <v>149</v>
      </c>
      <c r="B79" s="215">
        <v>1000</v>
      </c>
      <c r="C79" s="215">
        <f>1000+2960+2960+1500+3000</f>
        <v>11420</v>
      </c>
      <c r="D79" s="217">
        <f>1830+1500+1000+1000+229</f>
        <v>5559</v>
      </c>
      <c r="E79" s="216">
        <f t="shared" si="1"/>
        <v>17979</v>
      </c>
      <c r="G79" s="9"/>
      <c r="H79" s="113"/>
      <c r="I79" s="114"/>
      <c r="J79" s="115"/>
      <c r="K79" s="116"/>
      <c r="M79" s="35"/>
    </row>
    <row r="80" spans="1:48" ht="15.75" x14ac:dyDescent="0.25">
      <c r="A80" s="206" t="s">
        <v>150</v>
      </c>
      <c r="B80" s="215">
        <f>1307+1100+1000+1000</f>
        <v>4407</v>
      </c>
      <c r="C80" s="215">
        <f>1000+1300+1500+843</f>
        <v>4643</v>
      </c>
      <c r="D80" s="215">
        <f>1615+602+2811+72.58</f>
        <v>5100.58</v>
      </c>
      <c r="E80" s="216">
        <f t="shared" si="1"/>
        <v>14150.58</v>
      </c>
      <c r="G80" s="9"/>
      <c r="H80" s="113"/>
      <c r="I80" s="114"/>
      <c r="J80" s="115"/>
      <c r="K80" s="116"/>
      <c r="M80" s="35"/>
    </row>
    <row r="81" spans="1:19" ht="15.75" x14ac:dyDescent="0.25">
      <c r="A81" s="206" t="s">
        <v>151</v>
      </c>
      <c r="B81" s="215">
        <f>750</f>
        <v>750</v>
      </c>
      <c r="C81" s="215">
        <v>1344</v>
      </c>
      <c r="D81" s="215">
        <f>568</f>
        <v>568</v>
      </c>
      <c r="E81" s="216">
        <f t="shared" si="1"/>
        <v>2662</v>
      </c>
      <c r="G81" s="9"/>
      <c r="H81" s="113"/>
      <c r="I81" s="114"/>
      <c r="J81" s="115"/>
      <c r="K81" s="116"/>
      <c r="M81" s="35"/>
    </row>
    <row r="82" spans="1:19" ht="15.75" x14ac:dyDescent="0.25">
      <c r="A82" s="206" t="s">
        <v>152</v>
      </c>
      <c r="B82" s="215">
        <v>1000</v>
      </c>
      <c r="C82" s="215">
        <v>1000</v>
      </c>
      <c r="D82" s="215">
        <v>0</v>
      </c>
      <c r="E82" s="216">
        <f t="shared" si="1"/>
        <v>2000</v>
      </c>
      <c r="G82" s="9"/>
      <c r="H82" s="113"/>
      <c r="I82" s="114"/>
      <c r="J82" s="117"/>
      <c r="K82" s="116"/>
      <c r="M82" s="35"/>
    </row>
    <row r="83" spans="1:19" ht="15.75" x14ac:dyDescent="0.25">
      <c r="A83" s="206" t="s">
        <v>153</v>
      </c>
      <c r="B83" s="218">
        <v>1000</v>
      </c>
      <c r="C83" s="215">
        <v>2500</v>
      </c>
      <c r="D83" s="215">
        <v>0</v>
      </c>
      <c r="E83" s="216">
        <f t="shared" si="1"/>
        <v>3500</v>
      </c>
      <c r="G83" s="9"/>
      <c r="H83" s="113"/>
      <c r="I83" s="114"/>
      <c r="J83" s="117"/>
      <c r="K83" s="116"/>
      <c r="M83" s="35"/>
    </row>
    <row r="84" spans="1:19" ht="15.75" x14ac:dyDescent="0.25">
      <c r="A84" s="207" t="s">
        <v>154</v>
      </c>
      <c r="B84" s="215">
        <v>1000</v>
      </c>
      <c r="C84" s="215">
        <v>0</v>
      </c>
      <c r="D84" s="218">
        <v>0</v>
      </c>
      <c r="E84" s="216">
        <f t="shared" si="1"/>
        <v>1000</v>
      </c>
      <c r="G84" s="9"/>
      <c r="H84" s="113"/>
      <c r="I84" s="114"/>
      <c r="J84" s="115"/>
      <c r="K84" s="116"/>
      <c r="M84" s="35"/>
    </row>
    <row r="85" spans="1:19" ht="15.75" x14ac:dyDescent="0.25">
      <c r="A85" s="208" t="s">
        <v>123</v>
      </c>
      <c r="B85" s="215">
        <v>600</v>
      </c>
      <c r="C85" s="215">
        <f>650+295</f>
        <v>945</v>
      </c>
      <c r="D85" s="215">
        <f>154+650</f>
        <v>804</v>
      </c>
      <c r="E85" s="216">
        <f t="shared" si="1"/>
        <v>2349</v>
      </c>
      <c r="G85" s="9"/>
      <c r="H85" s="113"/>
      <c r="I85" s="114"/>
      <c r="J85" s="115"/>
      <c r="K85" s="116"/>
      <c r="M85" s="35"/>
    </row>
    <row r="86" spans="1:19" ht="15.75" x14ac:dyDescent="0.25">
      <c r="A86" s="208" t="s">
        <v>125</v>
      </c>
      <c r="B86" s="215">
        <v>100</v>
      </c>
      <c r="C86" s="215">
        <v>295</v>
      </c>
      <c r="D86" s="215">
        <f>154</f>
        <v>154</v>
      </c>
      <c r="E86" s="216">
        <f t="shared" si="1"/>
        <v>549</v>
      </c>
      <c r="G86" s="9"/>
      <c r="H86" s="113"/>
      <c r="I86" s="114"/>
      <c r="J86" s="115"/>
      <c r="K86" s="116"/>
      <c r="M86" s="35"/>
      <c r="S86"/>
    </row>
    <row r="87" spans="1:19" ht="15.75" x14ac:dyDescent="0.25">
      <c r="A87" s="209" t="s">
        <v>122</v>
      </c>
      <c r="B87" s="216">
        <v>300</v>
      </c>
      <c r="C87" s="215">
        <v>295</v>
      </c>
      <c r="D87" s="215">
        <f>154</f>
        <v>154</v>
      </c>
      <c r="E87" s="216">
        <f t="shared" si="1"/>
        <v>749</v>
      </c>
      <c r="G87" s="85"/>
      <c r="H87" s="119"/>
      <c r="I87" s="108"/>
      <c r="J87" s="105"/>
      <c r="K87" s="120"/>
      <c r="M87" s="35"/>
      <c r="S87"/>
    </row>
    <row r="88" spans="1:19" ht="15.75" x14ac:dyDescent="0.25">
      <c r="A88" s="209" t="s">
        <v>124</v>
      </c>
      <c r="B88" s="216">
        <v>300</v>
      </c>
      <c r="C88" s="215">
        <v>295</v>
      </c>
      <c r="D88" s="215">
        <v>154</v>
      </c>
      <c r="E88" s="216">
        <f t="shared" si="1"/>
        <v>749</v>
      </c>
      <c r="G88" s="9"/>
      <c r="H88" s="121"/>
      <c r="I88" s="122"/>
      <c r="J88" s="89"/>
      <c r="K88" s="112"/>
      <c r="M88" s="35"/>
      <c r="S88"/>
    </row>
    <row r="89" spans="1:19" ht="15.75" x14ac:dyDescent="0.25">
      <c r="A89" s="208" t="s">
        <v>155</v>
      </c>
      <c r="B89" s="215">
        <v>0</v>
      </c>
      <c r="C89" s="215">
        <v>295</v>
      </c>
      <c r="D89" s="216">
        <v>0</v>
      </c>
      <c r="E89" s="219">
        <f t="shared" si="1"/>
        <v>295</v>
      </c>
      <c r="F89" s="9"/>
      <c r="G89" s="9"/>
      <c r="I89" s="70"/>
      <c r="J89" s="123"/>
      <c r="K89" s="112"/>
      <c r="M89" s="35"/>
      <c r="S89"/>
    </row>
    <row r="90" spans="1:19" ht="15.75" x14ac:dyDescent="0.25">
      <c r="A90" s="208" t="s">
        <v>127</v>
      </c>
      <c r="B90" s="215">
        <v>0</v>
      </c>
      <c r="C90" s="215">
        <v>0</v>
      </c>
      <c r="D90" s="216">
        <v>154</v>
      </c>
      <c r="E90" s="219">
        <f t="shared" si="1"/>
        <v>154</v>
      </c>
      <c r="F90" s="9"/>
      <c r="G90" s="9"/>
      <c r="I90" s="70"/>
      <c r="J90" s="123"/>
      <c r="K90" s="112"/>
      <c r="M90" s="35"/>
      <c r="S90"/>
    </row>
    <row r="91" spans="1:19" ht="15.75" x14ac:dyDescent="0.25">
      <c r="A91" s="208" t="s">
        <v>128</v>
      </c>
      <c r="B91" s="215">
        <v>700</v>
      </c>
      <c r="C91" s="215">
        <v>0</v>
      </c>
      <c r="D91" s="216">
        <v>133</v>
      </c>
      <c r="E91" s="219">
        <f t="shared" si="1"/>
        <v>833</v>
      </c>
      <c r="F91" s="9"/>
      <c r="G91" s="9"/>
      <c r="I91" s="70"/>
      <c r="J91" s="112"/>
      <c r="K91" s="112"/>
      <c r="M91" s="35"/>
      <c r="S91"/>
    </row>
    <row r="92" spans="1:19" ht="15.75" x14ac:dyDescent="0.25">
      <c r="A92" s="208" t="s">
        <v>156</v>
      </c>
      <c r="B92" s="215">
        <v>0</v>
      </c>
      <c r="C92" s="216">
        <v>0</v>
      </c>
      <c r="D92" s="216">
        <v>133</v>
      </c>
      <c r="E92" s="219">
        <f t="shared" si="1"/>
        <v>133</v>
      </c>
      <c r="F92" s="9"/>
      <c r="G92" s="9"/>
      <c r="I92" s="70"/>
      <c r="J92" s="112"/>
      <c r="K92" s="118"/>
      <c r="M92" s="35"/>
      <c r="S92"/>
    </row>
    <row r="93" spans="1:19" ht="15.75" x14ac:dyDescent="0.25">
      <c r="A93" s="210" t="s">
        <v>157</v>
      </c>
      <c r="B93" s="220">
        <f>SUM(B78:B92)</f>
        <v>13207</v>
      </c>
      <c r="C93" s="222">
        <f>SUM(C78:C92)</f>
        <v>29162.75</v>
      </c>
      <c r="D93" s="222">
        <f>SUM(D78:D92)</f>
        <v>15057.27</v>
      </c>
      <c r="E93" s="221">
        <f t="shared" si="1"/>
        <v>57427.020000000004</v>
      </c>
      <c r="F93" s="9"/>
      <c r="G93" s="9"/>
      <c r="I93" s="70"/>
      <c r="J93" s="126"/>
      <c r="K93" s="118"/>
      <c r="M93" s="35"/>
      <c r="S93"/>
    </row>
    <row r="94" spans="1:19" x14ac:dyDescent="0.25">
      <c r="D94" s="127"/>
      <c r="E94" s="127"/>
      <c r="G94" s="125"/>
      <c r="H94" s="124"/>
      <c r="K94" s="128"/>
      <c r="L94" s="118"/>
      <c r="M94" s="35"/>
      <c r="S94"/>
    </row>
    <row r="95" spans="1:19" x14ac:dyDescent="0.25">
      <c r="A95" s="129"/>
      <c r="B95" s="130"/>
      <c r="C95" s="129"/>
      <c r="D95" s="131"/>
      <c r="E95" s="131"/>
      <c r="F95" s="131"/>
      <c r="G95" s="125"/>
      <c r="H95" s="132"/>
      <c r="I95" s="9"/>
      <c r="K95" s="128"/>
      <c r="L95" s="35"/>
      <c r="M95" s="35"/>
      <c r="S95"/>
    </row>
    <row r="96" spans="1:19" x14ac:dyDescent="0.25">
      <c r="A96" s="133"/>
      <c r="B96" s="103"/>
      <c r="C96" s="103"/>
      <c r="E96" s="131"/>
      <c r="F96" s="131"/>
      <c r="G96" s="134"/>
      <c r="H96" s="132"/>
      <c r="K96" s="128"/>
      <c r="S96"/>
    </row>
    <row r="97" spans="1:19" x14ac:dyDescent="0.25">
      <c r="A97" s="135"/>
      <c r="B97" s="136"/>
      <c r="C97" s="137"/>
      <c r="D97" s="138"/>
      <c r="E97" s="131"/>
      <c r="F97" s="131"/>
      <c r="K97" s="128"/>
      <c r="S97"/>
    </row>
    <row r="98" spans="1:19" x14ac:dyDescent="0.25">
      <c r="A98" s="135"/>
      <c r="B98" s="136"/>
      <c r="C98" s="139"/>
      <c r="D98" s="115"/>
      <c r="E98" s="131"/>
      <c r="F98" s="131"/>
      <c r="K98" s="128"/>
      <c r="S98"/>
    </row>
    <row r="99" spans="1:19" x14ac:dyDescent="0.25">
      <c r="A99" s="135"/>
      <c r="B99" s="140"/>
      <c r="C99" s="141"/>
      <c r="D99" s="115"/>
      <c r="E99" s="142"/>
      <c r="F99" s="142"/>
      <c r="K99" s="128"/>
      <c r="S99"/>
    </row>
    <row r="100" spans="1:19" x14ac:dyDescent="0.25">
      <c r="A100" s="135"/>
      <c r="B100" s="143"/>
      <c r="C100" s="141"/>
      <c r="D100" s="115"/>
      <c r="E100" s="142"/>
      <c r="F100" s="142"/>
      <c r="K100" s="128"/>
      <c r="S100"/>
    </row>
    <row r="101" spans="1:19" x14ac:dyDescent="0.25">
      <c r="A101" s="90"/>
      <c r="B101" s="144"/>
      <c r="C101" s="145"/>
      <c r="D101" s="146"/>
      <c r="E101" s="142"/>
      <c r="F101" s="142"/>
      <c r="K101" s="128"/>
      <c r="S101"/>
    </row>
    <row r="102" spans="1:19" x14ac:dyDescent="0.25">
      <c r="A102" s="135"/>
      <c r="B102" s="147"/>
      <c r="C102" s="148"/>
      <c r="D102" s="142"/>
      <c r="E102" s="142"/>
      <c r="F102" s="142"/>
      <c r="K102" s="128"/>
    </row>
    <row r="103" spans="1:19" x14ac:dyDescent="0.25">
      <c r="A103" s="90"/>
      <c r="B103" s="103"/>
      <c r="C103" s="103"/>
      <c r="E103" s="142"/>
      <c r="F103" s="142"/>
      <c r="K103" s="128"/>
    </row>
    <row r="104" spans="1:19" x14ac:dyDescent="0.25">
      <c r="A104" s="135"/>
      <c r="B104" s="116"/>
      <c r="C104" s="116"/>
      <c r="D104" s="116"/>
      <c r="E104" s="116"/>
      <c r="K104" s="128"/>
    </row>
    <row r="105" spans="1:19" x14ac:dyDescent="0.25">
      <c r="A105" s="135"/>
      <c r="B105" s="116"/>
      <c r="C105" s="116"/>
      <c r="D105" s="116"/>
      <c r="E105" s="116"/>
      <c r="K105" s="128"/>
    </row>
    <row r="106" spans="1:19" x14ac:dyDescent="0.25">
      <c r="A106" s="135"/>
      <c r="B106" s="116"/>
      <c r="C106" s="116"/>
      <c r="D106" s="116"/>
      <c r="E106" s="116"/>
      <c r="K106" s="128"/>
    </row>
    <row r="107" spans="1:19" x14ac:dyDescent="0.25">
      <c r="A107" s="135"/>
      <c r="B107" s="116"/>
      <c r="C107" s="116"/>
      <c r="D107" s="116"/>
      <c r="E107" s="149"/>
      <c r="K107" s="128"/>
    </row>
    <row r="108" spans="1:19" x14ac:dyDescent="0.25">
      <c r="A108" s="135"/>
      <c r="B108" s="116"/>
      <c r="C108" s="116"/>
      <c r="D108" s="116"/>
      <c r="E108" s="149"/>
      <c r="K108" s="128"/>
    </row>
    <row r="109" spans="1:19" x14ac:dyDescent="0.25">
      <c r="A109" s="135"/>
      <c r="B109" s="116"/>
      <c r="C109" s="116"/>
      <c r="D109" s="116"/>
      <c r="E109" s="149"/>
      <c r="K109" s="128"/>
    </row>
    <row r="110" spans="1:19" x14ac:dyDescent="0.25">
      <c r="A110" s="135"/>
      <c r="B110" s="116"/>
      <c r="C110" s="116"/>
      <c r="D110" s="116"/>
      <c r="E110" s="150"/>
      <c r="K110" s="128"/>
    </row>
    <row r="111" spans="1:19" x14ac:dyDescent="0.25">
      <c r="A111" s="135"/>
      <c r="B111" s="116"/>
      <c r="C111" s="116"/>
      <c r="D111" s="116"/>
      <c r="E111" s="150"/>
    </row>
    <row r="112" spans="1:19" x14ac:dyDescent="0.25">
      <c r="A112" s="135"/>
      <c r="B112" s="116"/>
      <c r="C112" s="116"/>
      <c r="D112" s="116"/>
      <c r="E112" s="150"/>
    </row>
    <row r="113" spans="1:5" x14ac:dyDescent="0.25">
      <c r="A113" s="135"/>
      <c r="B113" s="116"/>
      <c r="C113" s="116"/>
      <c r="D113" s="116"/>
      <c r="E113" s="150"/>
    </row>
    <row r="114" spans="1:5" x14ac:dyDescent="0.25">
      <c r="A114" s="135"/>
      <c r="B114" s="116"/>
      <c r="C114" s="116"/>
      <c r="D114" s="116"/>
      <c r="E114" s="150"/>
    </row>
    <row r="115" spans="1:5" x14ac:dyDescent="0.25">
      <c r="A115" s="135"/>
      <c r="B115" s="116"/>
      <c r="C115" s="116"/>
      <c r="D115" s="116"/>
      <c r="E115" s="116"/>
    </row>
    <row r="116" spans="1:5" x14ac:dyDescent="0.25">
      <c r="A116" s="135"/>
      <c r="B116" s="116"/>
      <c r="C116" s="116"/>
      <c r="D116" s="116"/>
      <c r="E116" s="116"/>
    </row>
    <row r="117" spans="1:5" x14ac:dyDescent="0.25">
      <c r="A117" s="135"/>
      <c r="B117" s="116"/>
      <c r="C117" s="116"/>
      <c r="D117" s="116"/>
      <c r="E117" s="116"/>
    </row>
    <row r="118" spans="1:5" x14ac:dyDescent="0.25">
      <c r="A118" s="90"/>
      <c r="B118" s="105"/>
      <c r="C118" s="105"/>
      <c r="D118" s="146"/>
      <c r="E118" s="116"/>
    </row>
    <row r="119" spans="1:5" x14ac:dyDescent="0.25">
      <c r="A119" s="135"/>
    </row>
    <row r="120" spans="1:5" x14ac:dyDescent="0.25">
      <c r="A120" s="103"/>
      <c r="B120" s="103"/>
      <c r="C120" s="103"/>
    </row>
    <row r="121" spans="1:5" x14ac:dyDescent="0.25">
      <c r="A121" s="135"/>
      <c r="B121" s="151"/>
      <c r="C121" s="151"/>
      <c r="D121" s="151"/>
    </row>
    <row r="122" spans="1:5" x14ac:dyDescent="0.25">
      <c r="A122" s="135"/>
      <c r="B122" s="151"/>
      <c r="C122" s="151"/>
      <c r="D122" s="151"/>
    </row>
    <row r="123" spans="1:5" x14ac:dyDescent="0.25">
      <c r="A123" s="135"/>
      <c r="B123" s="151"/>
      <c r="C123" s="151"/>
      <c r="D123" s="152"/>
    </row>
    <row r="124" spans="1:5" x14ac:dyDescent="0.25">
      <c r="A124" s="135"/>
      <c r="B124" s="151"/>
      <c r="C124" s="151"/>
      <c r="D124" s="153"/>
    </row>
    <row r="125" spans="1:5" x14ac:dyDescent="0.25">
      <c r="A125" s="135"/>
      <c r="B125" s="151"/>
      <c r="C125" s="154"/>
      <c r="D125" s="155"/>
    </row>
    <row r="126" spans="1:5" x14ac:dyDescent="0.25">
      <c r="A126" s="135"/>
      <c r="B126" s="151"/>
      <c r="C126" s="151"/>
      <c r="D126" s="151"/>
    </row>
    <row r="127" spans="1:5" x14ac:dyDescent="0.25">
      <c r="A127" s="135"/>
      <c r="B127" s="151"/>
      <c r="C127" s="151"/>
      <c r="D127" s="155"/>
    </row>
    <row r="128" spans="1:5" x14ac:dyDescent="0.25">
      <c r="A128" s="135"/>
      <c r="B128" s="156"/>
      <c r="C128" s="154"/>
      <c r="D128" s="156"/>
    </row>
    <row r="129" spans="1:4" x14ac:dyDescent="0.25">
      <c r="A129" s="135"/>
      <c r="B129" s="156"/>
      <c r="C129" s="156"/>
      <c r="D129" s="157"/>
    </row>
    <row r="130" spans="1:4" x14ac:dyDescent="0.25">
      <c r="A130" s="135"/>
      <c r="B130" s="156"/>
      <c r="C130" s="156"/>
      <c r="D130" s="157"/>
    </row>
    <row r="131" spans="1:4" x14ac:dyDescent="0.25">
      <c r="A131" s="135"/>
      <c r="B131" s="156"/>
      <c r="C131" s="156"/>
      <c r="D131" s="157"/>
    </row>
    <row r="132" spans="1:4" x14ac:dyDescent="0.25">
      <c r="A132" s="135"/>
      <c r="B132" s="156"/>
      <c r="C132" s="156"/>
      <c r="D132" s="157"/>
    </row>
    <row r="133" spans="1:4" x14ac:dyDescent="0.25">
      <c r="A133" s="135"/>
      <c r="B133" s="154"/>
      <c r="C133" s="154"/>
      <c r="D133" s="157"/>
    </row>
    <row r="134" spans="1:4" x14ac:dyDescent="0.25">
      <c r="A134" s="135"/>
      <c r="B134" s="154"/>
      <c r="C134" s="154"/>
      <c r="D134" s="157"/>
    </row>
    <row r="135" spans="1:4" x14ac:dyDescent="0.25">
      <c r="A135" s="135"/>
      <c r="B135" s="154"/>
      <c r="C135" s="156"/>
      <c r="D135" s="157"/>
    </row>
    <row r="136" spans="1:4" x14ac:dyDescent="0.25">
      <c r="A136" s="135"/>
      <c r="B136" s="154"/>
      <c r="C136" s="156"/>
      <c r="D136" s="157"/>
    </row>
    <row r="137" spans="1:4" x14ac:dyDescent="0.25">
      <c r="A137" s="135"/>
      <c r="B137" s="154"/>
      <c r="C137" s="156"/>
      <c r="D137" s="157"/>
    </row>
    <row r="138" spans="1:4" x14ac:dyDescent="0.25">
      <c r="A138" s="135"/>
      <c r="B138" s="154"/>
      <c r="C138" s="156"/>
      <c r="D138" s="157"/>
    </row>
    <row r="139" spans="1:4" x14ac:dyDescent="0.25">
      <c r="A139" s="135"/>
      <c r="B139" s="154"/>
      <c r="C139" s="154"/>
      <c r="D139" s="157"/>
    </row>
    <row r="140" spans="1:4" x14ac:dyDescent="0.25">
      <c r="A140" s="135"/>
      <c r="B140" s="154"/>
      <c r="C140" s="154"/>
      <c r="D140" s="157"/>
    </row>
    <row r="141" spans="1:4" x14ac:dyDescent="0.25">
      <c r="A141" s="135"/>
      <c r="B141" s="154"/>
      <c r="C141" s="154"/>
      <c r="D141" s="157"/>
    </row>
    <row r="142" spans="1:4" x14ac:dyDescent="0.25">
      <c r="A142" s="135"/>
      <c r="B142" s="154"/>
      <c r="C142" s="154"/>
      <c r="D142" s="157"/>
    </row>
    <row r="143" spans="1:4" x14ac:dyDescent="0.25">
      <c r="A143" s="135"/>
      <c r="B143" s="158"/>
      <c r="C143" s="154"/>
      <c r="D143" s="157"/>
    </row>
    <row r="144" spans="1:4" x14ac:dyDescent="0.25">
      <c r="A144" s="135"/>
      <c r="B144" s="158"/>
      <c r="C144" s="154"/>
      <c r="D144" s="157"/>
    </row>
    <row r="145" spans="1:5" x14ac:dyDescent="0.25">
      <c r="A145" s="135"/>
      <c r="B145" s="158"/>
      <c r="C145" s="154"/>
      <c r="D145" s="157"/>
    </row>
    <row r="146" spans="1:5" x14ac:dyDescent="0.25">
      <c r="A146" s="9"/>
      <c r="B146" s="158"/>
      <c r="C146" s="154"/>
      <c r="D146" s="157"/>
    </row>
    <row r="147" spans="1:5" x14ac:dyDescent="0.25">
      <c r="A147" s="135"/>
      <c r="B147" s="158"/>
      <c r="C147" s="154"/>
      <c r="D147" s="157"/>
    </row>
    <row r="148" spans="1:5" x14ac:dyDescent="0.25">
      <c r="A148" s="135"/>
      <c r="B148" s="158"/>
      <c r="C148" s="154"/>
      <c r="D148" s="157"/>
    </row>
    <row r="149" spans="1:5" x14ac:dyDescent="0.25">
      <c r="A149" s="90"/>
      <c r="B149" s="90"/>
      <c r="C149" s="90"/>
      <c r="D149" s="146"/>
    </row>
    <row r="150" spans="1:5" x14ac:dyDescent="0.25">
      <c r="A150" s="135"/>
      <c r="B150" s="77"/>
      <c r="C150" s="135"/>
      <c r="D150" s="95"/>
      <c r="E150" s="9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2013-2017</vt:lpstr>
      <vt:lpstr>2016-2017 eelarve</vt:lpstr>
      <vt:lpstr>jaotused 2015-2017</vt:lpstr>
    </vt:vector>
  </TitlesOfParts>
  <Company>Alexela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Margot Paali</dc:creator>
  <cp:lastModifiedBy>Margot Paali</cp:lastModifiedBy>
  <dcterms:created xsi:type="dcterms:W3CDTF">2017-01-16T09:08:40Z</dcterms:created>
  <dcterms:modified xsi:type="dcterms:W3CDTF">2017-01-20T07:41:15Z</dcterms:modified>
</cp:coreProperties>
</file>